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CF-Website\dacf\php\pesticides\documents2\bd_mtgs\Oct-23\"/>
    </mc:Choice>
  </mc:AlternateContent>
  <xr:revisionPtr revIDLastSave="0" documentId="13_ncr:1_{52486431-29FE-45DA-86C3-5129BCB98335}" xr6:coauthVersionLast="47" xr6:coauthVersionMax="47" xr10:uidLastSave="{00000000-0000-0000-0000-000000000000}"/>
  <bookViews>
    <workbookView xWindow="28680" yWindow="-120" windowWidth="29040" windowHeight="15840" xr2:uid="{EF16CA33-81E1-45F8-B9A9-3F8B2CCFF6AF}"/>
  </bookViews>
  <sheets>
    <sheet name="Account Summary" sheetId="1" r:id="rId1"/>
  </sheets>
  <externalReferences>
    <externalReference r:id="rId2"/>
  </externalReferences>
  <definedNames>
    <definedName name="_xlnm.Print_Area" localSheetId="0">'Account Summary'!$A$1:$AH$72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D42" i="1"/>
  <c r="C42" i="1"/>
  <c r="N7" i="1"/>
  <c r="M7" i="1"/>
  <c r="L7" i="1"/>
  <c r="K7" i="1"/>
  <c r="J7" i="1"/>
  <c r="I7" i="1"/>
  <c r="H7" i="1"/>
  <c r="G7" i="1"/>
  <c r="AF66" i="1"/>
  <c r="AB66" i="1"/>
  <c r="X66" i="1"/>
  <c r="T66" i="1"/>
  <c r="N66" i="1"/>
  <c r="J66" i="1"/>
  <c r="F66" i="1"/>
  <c r="AH65" i="1"/>
  <c r="AD65" i="1"/>
  <c r="Z65" i="1"/>
  <c r="V65" i="1"/>
  <c r="R65" i="1"/>
  <c r="L65" i="1"/>
  <c r="H65" i="1"/>
  <c r="AF64" i="1"/>
  <c r="AB64" i="1"/>
  <c r="X64" i="1"/>
  <c r="T64" i="1"/>
  <c r="N64" i="1"/>
  <c r="J64" i="1"/>
  <c r="AH63" i="1"/>
  <c r="AD63" i="1"/>
  <c r="Z63" i="1"/>
  <c r="V63" i="1"/>
  <c r="R63" i="1"/>
  <c r="L63" i="1"/>
  <c r="H63" i="1"/>
  <c r="AF62" i="1"/>
  <c r="AB62" i="1"/>
  <c r="X62" i="1"/>
  <c r="T62" i="1"/>
  <c r="N62" i="1"/>
  <c r="J62" i="1"/>
  <c r="AH61" i="1"/>
  <c r="AD61" i="1"/>
  <c r="Z61" i="1"/>
  <c r="V61" i="1"/>
  <c r="R61" i="1"/>
  <c r="L61" i="1"/>
  <c r="H61" i="1"/>
  <c r="AF60" i="1"/>
  <c r="AB60" i="1"/>
  <c r="X60" i="1"/>
  <c r="T60" i="1"/>
  <c r="N60" i="1"/>
  <c r="J60" i="1"/>
  <c r="AH59" i="1"/>
  <c r="AD59" i="1"/>
  <c r="Z59" i="1"/>
  <c r="V59" i="1"/>
  <c r="R59" i="1"/>
  <c r="L59" i="1"/>
  <c r="H59" i="1"/>
  <c r="AF58" i="1"/>
  <c r="AB58" i="1"/>
  <c r="X58" i="1"/>
  <c r="T58" i="1"/>
  <c r="N58" i="1"/>
  <c r="J58" i="1"/>
  <c r="AH57" i="1"/>
  <c r="AD57" i="1"/>
  <c r="Z57" i="1"/>
  <c r="V57" i="1"/>
  <c r="R57" i="1"/>
  <c r="L57" i="1"/>
  <c r="H57" i="1"/>
  <c r="AF56" i="1"/>
  <c r="AB56" i="1"/>
  <c r="X56" i="1"/>
  <c r="T56" i="1"/>
  <c r="N56" i="1"/>
  <c r="J56" i="1"/>
  <c r="AH55" i="1"/>
  <c r="AD55" i="1"/>
  <c r="Z55" i="1"/>
  <c r="V55" i="1"/>
  <c r="R55" i="1"/>
  <c r="L55" i="1"/>
  <c r="H55" i="1"/>
  <c r="AF54" i="1"/>
  <c r="AB54" i="1"/>
  <c r="X54" i="1"/>
  <c r="T54" i="1"/>
  <c r="N54" i="1"/>
  <c r="J54" i="1"/>
  <c r="AH53" i="1"/>
  <c r="AD53" i="1"/>
  <c r="Z53" i="1"/>
  <c r="V53" i="1"/>
  <c r="R53" i="1"/>
  <c r="L53" i="1"/>
  <c r="H53" i="1"/>
  <c r="AF52" i="1"/>
  <c r="AB52" i="1"/>
  <c r="X52" i="1"/>
  <c r="T52" i="1"/>
  <c r="N52" i="1"/>
  <c r="J52" i="1"/>
  <c r="AH51" i="1"/>
  <c r="AD51" i="1"/>
  <c r="Z51" i="1"/>
  <c r="V51" i="1"/>
  <c r="R51" i="1"/>
  <c r="AE66" i="1"/>
  <c r="AA66" i="1"/>
  <c r="W66" i="1"/>
  <c r="S66" i="1"/>
  <c r="M66" i="1"/>
  <c r="I66" i="1"/>
  <c r="E66" i="1"/>
  <c r="AG65" i="1"/>
  <c r="AC65" i="1"/>
  <c r="Y65" i="1"/>
  <c r="U65" i="1"/>
  <c r="K65" i="1"/>
  <c r="G65" i="1"/>
  <c r="AE64" i="1"/>
  <c r="AA64" i="1"/>
  <c r="W64" i="1"/>
  <c r="S64" i="1"/>
  <c r="M64" i="1"/>
  <c r="I64" i="1"/>
  <c r="AG63" i="1"/>
  <c r="AC63" i="1"/>
  <c r="Y63" i="1"/>
  <c r="U63" i="1"/>
  <c r="K63" i="1"/>
  <c r="G63" i="1"/>
  <c r="AE62" i="1"/>
  <c r="AA62" i="1"/>
  <c r="W62" i="1"/>
  <c r="S62" i="1"/>
  <c r="M62" i="1"/>
  <c r="I62" i="1"/>
  <c r="AG61" i="1"/>
  <c r="AC61" i="1"/>
  <c r="Y61" i="1"/>
  <c r="U61" i="1"/>
  <c r="K61" i="1"/>
  <c r="G61" i="1"/>
  <c r="AE60" i="1"/>
  <c r="AA60" i="1"/>
  <c r="W60" i="1"/>
  <c r="S60" i="1"/>
  <c r="M60" i="1"/>
  <c r="I60" i="1"/>
  <c r="AG59" i="1"/>
  <c r="AC59" i="1"/>
  <c r="Y59" i="1"/>
  <c r="U59" i="1"/>
  <c r="K59" i="1"/>
  <c r="G59" i="1"/>
  <c r="AE58" i="1"/>
  <c r="AA58" i="1"/>
  <c r="W58" i="1"/>
  <c r="S58" i="1"/>
  <c r="M58" i="1"/>
  <c r="I58" i="1"/>
  <c r="AG57" i="1"/>
  <c r="AC57" i="1"/>
  <c r="Y57" i="1"/>
  <c r="U57" i="1"/>
  <c r="K57" i="1"/>
  <c r="G57" i="1"/>
  <c r="AE56" i="1"/>
  <c r="AA56" i="1"/>
  <c r="W56" i="1"/>
  <c r="S56" i="1"/>
  <c r="M56" i="1"/>
  <c r="I56" i="1"/>
  <c r="AG55" i="1"/>
  <c r="AC55" i="1"/>
  <c r="Y55" i="1"/>
  <c r="U55" i="1"/>
  <c r="K55" i="1"/>
  <c r="G55" i="1"/>
  <c r="AE54" i="1"/>
  <c r="AA54" i="1"/>
  <c r="AH66" i="1"/>
  <c r="AD66" i="1"/>
  <c r="Z66" i="1"/>
  <c r="V66" i="1"/>
  <c r="R66" i="1"/>
  <c r="L66" i="1"/>
  <c r="H66" i="1"/>
  <c r="D66" i="1"/>
  <c r="AF65" i="1"/>
  <c r="AB65" i="1"/>
  <c r="X65" i="1"/>
  <c r="T65" i="1"/>
  <c r="N65" i="1"/>
  <c r="J65" i="1"/>
  <c r="AH64" i="1"/>
  <c r="AD64" i="1"/>
  <c r="Z64" i="1"/>
  <c r="V64" i="1"/>
  <c r="R64" i="1"/>
  <c r="L64" i="1"/>
  <c r="H64" i="1"/>
  <c r="AF63" i="1"/>
  <c r="AB63" i="1"/>
  <c r="X63" i="1"/>
  <c r="T63" i="1"/>
  <c r="N63" i="1"/>
  <c r="J63" i="1"/>
  <c r="AH62" i="1"/>
  <c r="AD62" i="1"/>
  <c r="Z62" i="1"/>
  <c r="AG66" i="1"/>
  <c r="AC66" i="1"/>
  <c r="Y66" i="1"/>
  <c r="U66" i="1"/>
  <c r="K66" i="1"/>
  <c r="AA65" i="1"/>
  <c r="I65" i="1"/>
  <c r="U64" i="1"/>
  <c r="AE63" i="1"/>
  <c r="M63" i="1"/>
  <c r="Y62" i="1"/>
  <c r="G62" i="1"/>
  <c r="AA61" i="1"/>
  <c r="S61" i="1"/>
  <c r="I61" i="1"/>
  <c r="AC60" i="1"/>
  <c r="U60" i="1"/>
  <c r="K60" i="1"/>
  <c r="AE59" i="1"/>
  <c r="W59" i="1"/>
  <c r="M59" i="1"/>
  <c r="AG58" i="1"/>
  <c r="Y58" i="1"/>
  <c r="G58" i="1"/>
  <c r="AA57" i="1"/>
  <c r="S57" i="1"/>
  <c r="I57" i="1"/>
  <c r="AC56" i="1"/>
  <c r="U56" i="1"/>
  <c r="K56" i="1"/>
  <c r="AE55" i="1"/>
  <c r="W55" i="1"/>
  <c r="M55" i="1"/>
  <c r="AG54" i="1"/>
  <c r="Y54" i="1"/>
  <c r="S54" i="1"/>
  <c r="L54" i="1"/>
  <c r="G54" i="1"/>
  <c r="AC53" i="1"/>
  <c r="X53" i="1"/>
  <c r="S53" i="1"/>
  <c r="K53" i="1"/>
  <c r="AH52" i="1"/>
  <c r="G66" i="1"/>
  <c r="W65" i="1"/>
  <c r="AG64" i="1"/>
  <c r="AA63" i="1"/>
  <c r="I63" i="1"/>
  <c r="V62" i="1"/>
  <c r="L62" i="1"/>
  <c r="AF61" i="1"/>
  <c r="X61" i="1"/>
  <c r="N61" i="1"/>
  <c r="AH60" i="1"/>
  <c r="Z60" i="1"/>
  <c r="R60" i="1"/>
  <c r="H60" i="1"/>
  <c r="AB59" i="1"/>
  <c r="T59" i="1"/>
  <c r="J59" i="1"/>
  <c r="AD58" i="1"/>
  <c r="V58" i="1"/>
  <c r="L58" i="1"/>
  <c r="AF57" i="1"/>
  <c r="X57" i="1"/>
  <c r="N57" i="1"/>
  <c r="AH56" i="1"/>
  <c r="Z56" i="1"/>
  <c r="R56" i="1"/>
  <c r="H56" i="1"/>
  <c r="AB55" i="1"/>
  <c r="T55" i="1"/>
  <c r="J55" i="1"/>
  <c r="AD54" i="1"/>
  <c r="W54" i="1"/>
  <c r="R54" i="1"/>
  <c r="K54" i="1"/>
  <c r="AG53" i="1"/>
  <c r="AB53" i="1"/>
  <c r="W53" i="1"/>
  <c r="J53" i="1"/>
  <c r="AG52" i="1"/>
  <c r="AA52" i="1"/>
  <c r="V52" i="1"/>
  <c r="I52" i="1"/>
  <c r="AF51" i="1"/>
  <c r="AA51" i="1"/>
  <c r="U51" i="1"/>
  <c r="N51" i="1"/>
  <c r="J51" i="1"/>
  <c r="AH50" i="1"/>
  <c r="AD50" i="1"/>
  <c r="Z50" i="1"/>
  <c r="V50" i="1"/>
  <c r="R50" i="1"/>
  <c r="L50" i="1"/>
  <c r="H50" i="1"/>
  <c r="AF49" i="1"/>
  <c r="AB49" i="1"/>
  <c r="X49" i="1"/>
  <c r="T49" i="1"/>
  <c r="N49" i="1"/>
  <c r="J49" i="1"/>
  <c r="AH48" i="1"/>
  <c r="AD48" i="1"/>
  <c r="Z48" i="1"/>
  <c r="V48" i="1"/>
  <c r="R48" i="1"/>
  <c r="L48" i="1"/>
  <c r="H48" i="1"/>
  <c r="AF47" i="1"/>
  <c r="AB47" i="1"/>
  <c r="X47" i="1"/>
  <c r="T47" i="1"/>
  <c r="N47" i="1"/>
  <c r="J47" i="1"/>
  <c r="AH46" i="1"/>
  <c r="AD46" i="1"/>
  <c r="Z46" i="1"/>
  <c r="V46" i="1"/>
  <c r="R46" i="1"/>
  <c r="L46" i="1"/>
  <c r="H46" i="1"/>
  <c r="AF45" i="1"/>
  <c r="AB45" i="1"/>
  <c r="X45" i="1"/>
  <c r="T45" i="1"/>
  <c r="N45" i="1"/>
  <c r="J45" i="1"/>
  <c r="AH44" i="1"/>
  <c r="AD44" i="1"/>
  <c r="Z44" i="1"/>
  <c r="V44" i="1"/>
  <c r="R44" i="1"/>
  <c r="L44" i="1"/>
  <c r="H44" i="1"/>
  <c r="AF43" i="1"/>
  <c r="AB43" i="1"/>
  <c r="X43" i="1"/>
  <c r="T43" i="1"/>
  <c r="N43" i="1"/>
  <c r="J43" i="1"/>
  <c r="AE41" i="1"/>
  <c r="AA41" i="1"/>
  <c r="W41" i="1"/>
  <c r="S41" i="1"/>
  <c r="M41" i="1"/>
  <c r="I41" i="1"/>
  <c r="AG40" i="1"/>
  <c r="AC40" i="1"/>
  <c r="Y40" i="1"/>
  <c r="U40" i="1"/>
  <c r="K40" i="1"/>
  <c r="G40" i="1"/>
  <c r="AE39" i="1"/>
  <c r="AA39" i="1"/>
  <c r="W39" i="1"/>
  <c r="S39" i="1"/>
  <c r="C66" i="1"/>
  <c r="AC64" i="1"/>
  <c r="W63" i="1"/>
  <c r="U62" i="1"/>
  <c r="AE61" i="1"/>
  <c r="M61" i="1"/>
  <c r="Y60" i="1"/>
  <c r="G60" i="1"/>
  <c r="S59" i="1"/>
  <c r="AC58" i="1"/>
  <c r="K58" i="1"/>
  <c r="W57" i="1"/>
  <c r="AG56" i="1"/>
  <c r="AA55" i="1"/>
  <c r="I55" i="1"/>
  <c r="V54" i="1"/>
  <c r="I54" i="1"/>
  <c r="AA53" i="1"/>
  <c r="N53" i="1"/>
  <c r="AE52" i="1"/>
  <c r="Y52" i="1"/>
  <c r="R52" i="1"/>
  <c r="H52" i="1"/>
  <c r="AC51" i="1"/>
  <c r="W51" i="1"/>
  <c r="M51" i="1"/>
  <c r="H51" i="1"/>
  <c r="AE50" i="1"/>
  <c r="Y50" i="1"/>
  <c r="T50" i="1"/>
  <c r="M50" i="1"/>
  <c r="G50" i="1"/>
  <c r="AD49" i="1"/>
  <c r="Y49" i="1"/>
  <c r="S49" i="1"/>
  <c r="L49" i="1"/>
  <c r="G49" i="1"/>
  <c r="AC48" i="1"/>
  <c r="X48" i="1"/>
  <c r="S48" i="1"/>
  <c r="K48" i="1"/>
  <c r="AH47" i="1"/>
  <c r="AC47" i="1"/>
  <c r="W47" i="1"/>
  <c r="R47" i="1"/>
  <c r="K47" i="1"/>
  <c r="AG46" i="1"/>
  <c r="AB46" i="1"/>
  <c r="W46" i="1"/>
  <c r="J46" i="1"/>
  <c r="AG45" i="1"/>
  <c r="AA45" i="1"/>
  <c r="V45" i="1"/>
  <c r="I45" i="1"/>
  <c r="AF44" i="1"/>
  <c r="AA44" i="1"/>
  <c r="U44" i="1"/>
  <c r="N44" i="1"/>
  <c r="I44" i="1"/>
  <c r="AE43" i="1"/>
  <c r="Z43" i="1"/>
  <c r="U43" i="1"/>
  <c r="M43" i="1"/>
  <c r="H43" i="1"/>
  <c r="AH41" i="1"/>
  <c r="AC41" i="1"/>
  <c r="X41" i="1"/>
  <c r="R41" i="1"/>
  <c r="K41" i="1"/>
  <c r="AH40" i="1"/>
  <c r="AB40" i="1"/>
  <c r="W40" i="1"/>
  <c r="R40" i="1"/>
  <c r="J40" i="1"/>
  <c r="AG39" i="1"/>
  <c r="AB39" i="1"/>
  <c r="V39" i="1"/>
  <c r="K39" i="1"/>
  <c r="G39" i="1"/>
  <c r="AE38" i="1"/>
  <c r="AA38" i="1"/>
  <c r="W38" i="1"/>
  <c r="S38" i="1"/>
  <c r="M38" i="1"/>
  <c r="I38" i="1"/>
  <c r="AG37" i="1"/>
  <c r="AC37" i="1"/>
  <c r="Y37" i="1"/>
  <c r="U37" i="1"/>
  <c r="K37" i="1"/>
  <c r="G37" i="1"/>
  <c r="AE36" i="1"/>
  <c r="AA36" i="1"/>
  <c r="W36" i="1"/>
  <c r="S36" i="1"/>
  <c r="M36" i="1"/>
  <c r="I36" i="1"/>
  <c r="AG35" i="1"/>
  <c r="AC35" i="1"/>
  <c r="Y35" i="1"/>
  <c r="U35" i="1"/>
  <c r="K35" i="1"/>
  <c r="G35" i="1"/>
  <c r="AE29" i="1"/>
  <c r="AA29" i="1"/>
  <c r="W29" i="1"/>
  <c r="S29" i="1"/>
  <c r="M29" i="1"/>
  <c r="I29" i="1"/>
  <c r="E29" i="1"/>
  <c r="AG28" i="1"/>
  <c r="AC28" i="1"/>
  <c r="Y28" i="1"/>
  <c r="U28" i="1"/>
  <c r="K28" i="1"/>
  <c r="G28" i="1"/>
  <c r="C28" i="1"/>
  <c r="AE27" i="1"/>
  <c r="AA27" i="1"/>
  <c r="W27" i="1"/>
  <c r="S27" i="1"/>
  <c r="M27" i="1"/>
  <c r="I27" i="1"/>
  <c r="AG26" i="1"/>
  <c r="AC26" i="1"/>
  <c r="Y26" i="1"/>
  <c r="U26" i="1"/>
  <c r="K26" i="1"/>
  <c r="G26" i="1"/>
  <c r="AE25" i="1"/>
  <c r="AA25" i="1"/>
  <c r="W25" i="1"/>
  <c r="S25" i="1"/>
  <c r="M25" i="1"/>
  <c r="I25" i="1"/>
  <c r="AG24" i="1"/>
  <c r="AC24" i="1"/>
  <c r="Y24" i="1"/>
  <c r="U24" i="1"/>
  <c r="K24" i="1"/>
  <c r="G24" i="1"/>
  <c r="AE23" i="1"/>
  <c r="AA23" i="1"/>
  <c r="W23" i="1"/>
  <c r="S23" i="1"/>
  <c r="M23" i="1"/>
  <c r="I23" i="1"/>
  <c r="AG22" i="1"/>
  <c r="AC22" i="1"/>
  <c r="Y22" i="1"/>
  <c r="U22" i="1"/>
  <c r="K22" i="1"/>
  <c r="G22" i="1"/>
  <c r="AE21" i="1"/>
  <c r="AA21" i="1"/>
  <c r="W21" i="1"/>
  <c r="S21" i="1"/>
  <c r="M21" i="1"/>
  <c r="I21" i="1"/>
  <c r="AG20" i="1"/>
  <c r="AC20" i="1"/>
  <c r="Y20" i="1"/>
  <c r="U20" i="1"/>
  <c r="K20" i="1"/>
  <c r="G20" i="1"/>
  <c r="AE19" i="1"/>
  <c r="AA19" i="1"/>
  <c r="W19" i="1"/>
  <c r="S19" i="1"/>
  <c r="M19" i="1"/>
  <c r="I19" i="1"/>
  <c r="AG18" i="1"/>
  <c r="AC18" i="1"/>
  <c r="Y18" i="1"/>
  <c r="U18" i="1"/>
  <c r="K18" i="1"/>
  <c r="G18" i="1"/>
  <c r="AE17" i="1"/>
  <c r="AA17" i="1"/>
  <c r="W17" i="1"/>
  <c r="S17" i="1"/>
  <c r="M17" i="1"/>
  <c r="I17" i="1"/>
  <c r="AG16" i="1"/>
  <c r="AC16" i="1"/>
  <c r="Y16" i="1"/>
  <c r="U16" i="1"/>
  <c r="K16" i="1"/>
  <c r="G16" i="1"/>
  <c r="AE15" i="1"/>
  <c r="AA15" i="1"/>
  <c r="W15" i="1"/>
  <c r="S15" i="1"/>
  <c r="M15" i="1"/>
  <c r="I15" i="1"/>
  <c r="AG14" i="1"/>
  <c r="AC14" i="1"/>
  <c r="Y14" i="1"/>
  <c r="U14" i="1"/>
  <c r="K14" i="1"/>
  <c r="G14" i="1"/>
  <c r="AE13" i="1"/>
  <c r="AA13" i="1"/>
  <c r="W13" i="1"/>
  <c r="S13" i="1"/>
  <c r="M13" i="1"/>
  <c r="I13" i="1"/>
  <c r="AG12" i="1"/>
  <c r="AC12" i="1"/>
  <c r="Y12" i="1"/>
  <c r="U12" i="1"/>
  <c r="K12" i="1"/>
  <c r="G12" i="1"/>
  <c r="AE11" i="1"/>
  <c r="AA11" i="1"/>
  <c r="W11" i="1"/>
  <c r="S11" i="1"/>
  <c r="M11" i="1"/>
  <c r="AE65" i="1"/>
  <c r="K64" i="1"/>
  <c r="AC62" i="1"/>
  <c r="AB61" i="1"/>
  <c r="AG60" i="1"/>
  <c r="L60" i="1"/>
  <c r="N59" i="1"/>
  <c r="U58" i="1"/>
  <c r="AB57" i="1"/>
  <c r="AD56" i="1"/>
  <c r="G56" i="1"/>
  <c r="N55" i="1"/>
  <c r="U54" i="1"/>
  <c r="AF53" i="1"/>
  <c r="T53" i="1"/>
  <c r="AD52" i="1"/>
  <c r="U52" i="1"/>
  <c r="K52" i="1"/>
  <c r="AB51" i="1"/>
  <c r="S51" i="1"/>
  <c r="I51" i="1"/>
  <c r="AC50" i="1"/>
  <c r="W50" i="1"/>
  <c r="N50" i="1"/>
  <c r="AH49" i="1"/>
  <c r="AA49" i="1"/>
  <c r="U49" i="1"/>
  <c r="K49" i="1"/>
  <c r="AF48" i="1"/>
  <c r="Y48" i="1"/>
  <c r="I48" i="1"/>
  <c r="AD47" i="1"/>
  <c r="V47" i="1"/>
  <c r="M47" i="1"/>
  <c r="G47" i="1"/>
  <c r="AA46" i="1"/>
  <c r="T46" i="1"/>
  <c r="K46" i="1"/>
  <c r="AE45" i="1"/>
  <c r="Y45" i="1"/>
  <c r="R45" i="1"/>
  <c r="H45" i="1"/>
  <c r="AC44" i="1"/>
  <c r="W44" i="1"/>
  <c r="M44" i="1"/>
  <c r="AH43" i="1"/>
  <c r="AA43" i="1"/>
  <c r="S43" i="1"/>
  <c r="K43" i="1"/>
  <c r="AG41" i="1"/>
  <c r="Z41" i="1"/>
  <c r="T41" i="1"/>
  <c r="J41" i="1"/>
  <c r="AE40" i="1"/>
  <c r="X40" i="1"/>
  <c r="N40" i="1"/>
  <c r="H40" i="1"/>
  <c r="AC39" i="1"/>
  <c r="U39" i="1"/>
  <c r="M39" i="1"/>
  <c r="H39" i="1"/>
  <c r="AD38" i="1"/>
  <c r="Y38" i="1"/>
  <c r="T38" i="1"/>
  <c r="L38" i="1"/>
  <c r="G38" i="1"/>
  <c r="AD37" i="1"/>
  <c r="X37" i="1"/>
  <c r="S37" i="1"/>
  <c r="L37" i="1"/>
  <c r="AH36" i="1"/>
  <c r="AC36" i="1"/>
  <c r="X36" i="1"/>
  <c r="R36" i="1"/>
  <c r="K36" i="1"/>
  <c r="AH35" i="1"/>
  <c r="AB35" i="1"/>
  <c r="W35" i="1"/>
  <c r="R35" i="1"/>
  <c r="J35" i="1"/>
  <c r="AG29" i="1"/>
  <c r="AB29" i="1"/>
  <c r="V29" i="1"/>
  <c r="J29" i="1"/>
  <c r="D29" i="1"/>
  <c r="AE28" i="1"/>
  <c r="Z28" i="1"/>
  <c r="T28" i="1"/>
  <c r="M28" i="1"/>
  <c r="H28" i="1"/>
  <c r="AH27" i="1"/>
  <c r="AC27" i="1"/>
  <c r="X27" i="1"/>
  <c r="R27" i="1"/>
  <c r="K27" i="1"/>
  <c r="AH26" i="1"/>
  <c r="AB26" i="1"/>
  <c r="W26" i="1"/>
  <c r="R26" i="1"/>
  <c r="J26" i="1"/>
  <c r="AG25" i="1"/>
  <c r="AB25" i="1"/>
  <c r="V25" i="1"/>
  <c r="J25" i="1"/>
  <c r="AF24" i="1"/>
  <c r="AA24" i="1"/>
  <c r="V24" i="1"/>
  <c r="N24" i="1"/>
  <c r="I24" i="1"/>
  <c r="AF23" i="1"/>
  <c r="Z23" i="1"/>
  <c r="U23" i="1"/>
  <c r="N23" i="1"/>
  <c r="H23" i="1"/>
  <c r="AE22" i="1"/>
  <c r="Z22" i="1"/>
  <c r="T22" i="1"/>
  <c r="M22" i="1"/>
  <c r="H22" i="1"/>
  <c r="AD21" i="1"/>
  <c r="Y21" i="1"/>
  <c r="T21" i="1"/>
  <c r="L21" i="1"/>
  <c r="G21" i="1"/>
  <c r="AD20" i="1"/>
  <c r="X20" i="1"/>
  <c r="S20" i="1"/>
  <c r="L20" i="1"/>
  <c r="AH19" i="1"/>
  <c r="AC19" i="1"/>
  <c r="X19" i="1"/>
  <c r="R19" i="1"/>
  <c r="K19" i="1"/>
  <c r="AH18" i="1"/>
  <c r="AB18" i="1"/>
  <c r="W18" i="1"/>
  <c r="R18" i="1"/>
  <c r="J18" i="1"/>
  <c r="AG17" i="1"/>
  <c r="AB17" i="1"/>
  <c r="V17" i="1"/>
  <c r="J17" i="1"/>
  <c r="AF16" i="1"/>
  <c r="AA16" i="1"/>
  <c r="V16" i="1"/>
  <c r="N16" i="1"/>
  <c r="I16" i="1"/>
  <c r="AF15" i="1"/>
  <c r="Z15" i="1"/>
  <c r="U15" i="1"/>
  <c r="N15" i="1"/>
  <c r="H15" i="1"/>
  <c r="AE14" i="1"/>
  <c r="Z14" i="1"/>
  <c r="T14" i="1"/>
  <c r="M14" i="1"/>
  <c r="H14" i="1"/>
  <c r="AD13" i="1"/>
  <c r="Y13" i="1"/>
  <c r="T13" i="1"/>
  <c r="L13" i="1"/>
  <c r="G13" i="1"/>
  <c r="AD12" i="1"/>
  <c r="X12" i="1"/>
  <c r="S12" i="1"/>
  <c r="L12" i="1"/>
  <c r="AH11" i="1"/>
  <c r="AC11" i="1"/>
  <c r="X11" i="1"/>
  <c r="R11" i="1"/>
  <c r="K11" i="1"/>
  <c r="G11" i="1"/>
  <c r="AE10" i="1"/>
  <c r="AA10" i="1"/>
  <c r="W10" i="1"/>
  <c r="S10" i="1"/>
  <c r="M10" i="1"/>
  <c r="I10" i="1"/>
  <c r="AE53" i="1"/>
  <c r="T24" i="1"/>
  <c r="AD23" i="1"/>
  <c r="T23" i="1"/>
  <c r="L23" i="1"/>
  <c r="AD22" i="1"/>
  <c r="S22" i="1"/>
  <c r="AH21" i="1"/>
  <c r="X21" i="1"/>
  <c r="R21" i="1"/>
  <c r="AH20" i="1"/>
  <c r="R20" i="1"/>
  <c r="AG19" i="1"/>
  <c r="V19" i="1"/>
  <c r="AA18" i="1"/>
  <c r="V18" i="1"/>
  <c r="I18" i="1"/>
  <c r="Z17" i="1"/>
  <c r="N17" i="1"/>
  <c r="AE16" i="1"/>
  <c r="Z16" i="1"/>
  <c r="M16" i="1"/>
  <c r="AD15" i="1"/>
  <c r="T15" i="1"/>
  <c r="L15" i="1"/>
  <c r="AD14" i="1"/>
  <c r="S14" i="1"/>
  <c r="AH13" i="1"/>
  <c r="AC13" i="1"/>
  <c r="R13" i="1"/>
  <c r="AH12" i="1"/>
  <c r="AB12" i="1"/>
  <c r="R12" i="1"/>
  <c r="AG11" i="1"/>
  <c r="V11" i="1"/>
  <c r="AH10" i="1"/>
  <c r="Z10" i="1"/>
  <c r="R10" i="1"/>
  <c r="L10" i="1"/>
  <c r="M65" i="1"/>
  <c r="K62" i="1"/>
  <c r="T61" i="1"/>
  <c r="V60" i="1"/>
  <c r="AA59" i="1"/>
  <c r="AH58" i="1"/>
  <c r="H58" i="1"/>
  <c r="M57" i="1"/>
  <c r="V56" i="1"/>
  <c r="X55" i="1"/>
  <c r="AC54" i="1"/>
  <c r="M54" i="1"/>
  <c r="Y53" i="1"/>
  <c r="I53" i="1"/>
  <c r="Z52" i="1"/>
  <c r="M52" i="1"/>
  <c r="AG51" i="1"/>
  <c r="X51" i="1"/>
  <c r="L51" i="1"/>
  <c r="AG50" i="1"/>
  <c r="AA50" i="1"/>
  <c r="S50" i="1"/>
  <c r="J50" i="1"/>
  <c r="AE49" i="1"/>
  <c r="W49" i="1"/>
  <c r="H49" i="1"/>
  <c r="AB48" i="1"/>
  <c r="U48" i="1"/>
  <c r="M48" i="1"/>
  <c r="AG47" i="1"/>
  <c r="Z47" i="1"/>
  <c r="S47" i="1"/>
  <c r="I47" i="1"/>
  <c r="X46" i="1"/>
  <c r="N46" i="1"/>
  <c r="AC45" i="1"/>
  <c r="U45" i="1"/>
  <c r="AG44" i="1"/>
  <c r="Y44" i="1"/>
  <c r="J44" i="1"/>
  <c r="W43" i="1"/>
  <c r="G43" i="1"/>
  <c r="AD41" i="1"/>
  <c r="V41" i="1"/>
  <c r="N41" i="1"/>
  <c r="G41" i="1"/>
  <c r="AA40" i="1"/>
  <c r="L40" i="1"/>
  <c r="AF39" i="1"/>
  <c r="R39" i="1"/>
  <c r="AG38" i="1"/>
  <c r="V38" i="1"/>
  <c r="J38" i="1"/>
  <c r="AA37" i="1"/>
  <c r="N37" i="1"/>
  <c r="AF36" i="1"/>
  <c r="U36" i="1"/>
  <c r="H36" i="1"/>
  <c r="AE35" i="1"/>
  <c r="T35" i="1"/>
  <c r="H35" i="1"/>
  <c r="Y29" i="1"/>
  <c r="L29" i="1"/>
  <c r="G29" i="1"/>
  <c r="AB28" i="1"/>
  <c r="R28" i="1"/>
  <c r="E28" i="1"/>
  <c r="Z27" i="1"/>
  <c r="U27" i="1"/>
  <c r="H27" i="1"/>
  <c r="Z26" i="1"/>
  <c r="M26" i="1"/>
  <c r="H26" i="1"/>
  <c r="Y25" i="1"/>
  <c r="L25" i="1"/>
  <c r="AD24" i="1"/>
  <c r="S24" i="1"/>
  <c r="AH23" i="1"/>
  <c r="X23" i="1"/>
  <c r="K23" i="1"/>
  <c r="AB22" i="1"/>
  <c r="W22" i="1"/>
  <c r="J22" i="1"/>
  <c r="AG21" i="1"/>
  <c r="V21" i="1"/>
  <c r="J21" i="1"/>
  <c r="AA20" i="1"/>
  <c r="N20" i="1"/>
  <c r="AF19" i="1"/>
  <c r="Z19" i="1"/>
  <c r="N19" i="1"/>
  <c r="AE18" i="1"/>
  <c r="T18" i="1"/>
  <c r="M18" i="1"/>
  <c r="AD17" i="1"/>
  <c r="T17" i="1"/>
  <c r="L17" i="1"/>
  <c r="AD16" i="1"/>
  <c r="S16" i="1"/>
  <c r="L16" i="1"/>
  <c r="AC15" i="1"/>
  <c r="R15" i="1"/>
  <c r="AH14" i="1"/>
  <c r="W14" i="1"/>
  <c r="J14" i="1"/>
  <c r="AB13" i="1"/>
  <c r="V13" i="1"/>
  <c r="J13" i="1"/>
  <c r="AA12" i="1"/>
  <c r="V12" i="1"/>
  <c r="I12" i="1"/>
  <c r="Z11" i="1"/>
  <c r="N11" i="1"/>
  <c r="AG10" i="1"/>
  <c r="Y10" i="1"/>
  <c r="U10" i="1"/>
  <c r="K10" i="1"/>
  <c r="Y64" i="1"/>
  <c r="H62" i="1"/>
  <c r="Z58" i="1"/>
  <c r="AE57" i="1"/>
  <c r="L56" i="1"/>
  <c r="Z54" i="1"/>
  <c r="H54" i="1"/>
  <c r="G53" i="1"/>
  <c r="W52" i="1"/>
  <c r="AE51" i="1"/>
  <c r="K51" i="1"/>
  <c r="X50" i="1"/>
  <c r="AC49" i="1"/>
  <c r="V49" i="1"/>
  <c r="AG48" i="1"/>
  <c r="T48" i="1"/>
  <c r="J48" i="1"/>
  <c r="Y47" i="1"/>
  <c r="H47" i="1"/>
  <c r="U46" i="1"/>
  <c r="M46" i="1"/>
  <c r="Z45" i="1"/>
  <c r="K45" i="1"/>
  <c r="X44" i="1"/>
  <c r="G44" i="1"/>
  <c r="AC43" i="1"/>
  <c r="L43" i="1"/>
  <c r="S65" i="1"/>
  <c r="G64" i="1"/>
  <c r="R62" i="1"/>
  <c r="W61" i="1"/>
  <c r="AD60" i="1"/>
  <c r="AF59" i="1"/>
  <c r="I59" i="1"/>
  <c r="R58" i="1"/>
  <c r="T57" i="1"/>
  <c r="Y56" i="1"/>
  <c r="AF55" i="1"/>
  <c r="AH54" i="1"/>
  <c r="M53" i="1"/>
  <c r="AC52" i="1"/>
  <c r="S52" i="1"/>
  <c r="G52" i="1"/>
  <c r="Y51" i="1"/>
  <c r="G51" i="1"/>
  <c r="AB50" i="1"/>
  <c r="U50" i="1"/>
  <c r="K50" i="1"/>
  <c r="AG49" i="1"/>
  <c r="Z49" i="1"/>
  <c r="R49" i="1"/>
  <c r="I49" i="1"/>
  <c r="AE48" i="1"/>
  <c r="W48" i="1"/>
  <c r="N48" i="1"/>
  <c r="G48" i="1"/>
  <c r="AA47" i="1"/>
  <c r="U47" i="1"/>
  <c r="L47" i="1"/>
  <c r="AF46" i="1"/>
  <c r="Y46" i="1"/>
  <c r="S46" i="1"/>
  <c r="I46" i="1"/>
  <c r="AD45" i="1"/>
  <c r="W45" i="1"/>
  <c r="M45" i="1"/>
  <c r="G45" i="1"/>
  <c r="AB44" i="1"/>
  <c r="T44" i="1"/>
  <c r="K44" i="1"/>
  <c r="AG43" i="1"/>
  <c r="Y43" i="1"/>
  <c r="R43" i="1"/>
  <c r="I43" i="1"/>
  <c r="AF41" i="1"/>
  <c r="Y41" i="1"/>
  <c r="H41" i="1"/>
  <c r="AD40" i="1"/>
  <c r="V40" i="1"/>
  <c r="M40" i="1"/>
  <c r="AH39" i="1"/>
  <c r="Z39" i="1"/>
  <c r="T39" i="1"/>
  <c r="L39" i="1"/>
  <c r="AH38" i="1"/>
  <c r="AC38" i="1"/>
  <c r="X38" i="1"/>
  <c r="R38" i="1"/>
  <c r="K38" i="1"/>
  <c r="AH37" i="1"/>
  <c r="AB37" i="1"/>
  <c r="W37" i="1"/>
  <c r="R37" i="1"/>
  <c r="J37" i="1"/>
  <c r="AG36" i="1"/>
  <c r="AB36" i="1"/>
  <c r="V36" i="1"/>
  <c r="J36" i="1"/>
  <c r="AF35" i="1"/>
  <c r="AA35" i="1"/>
  <c r="V35" i="1"/>
  <c r="N35" i="1"/>
  <c r="I35" i="1"/>
  <c r="AF29" i="1"/>
  <c r="Z29" i="1"/>
  <c r="U29" i="1"/>
  <c r="N29" i="1"/>
  <c r="H29" i="1"/>
  <c r="C29" i="1"/>
  <c r="AD28" i="1"/>
  <c r="X28" i="1"/>
  <c r="S28" i="1"/>
  <c r="L28" i="1"/>
  <c r="F28" i="1"/>
  <c r="AG27" i="1"/>
  <c r="AB27" i="1"/>
  <c r="V27" i="1"/>
  <c r="J27" i="1"/>
  <c r="AF26" i="1"/>
  <c r="AA26" i="1"/>
  <c r="V26" i="1"/>
  <c r="N26" i="1"/>
  <c r="I26" i="1"/>
  <c r="AF25" i="1"/>
  <c r="Z25" i="1"/>
  <c r="U25" i="1"/>
  <c r="N25" i="1"/>
  <c r="H25" i="1"/>
  <c r="AE24" i="1"/>
  <c r="Z24" i="1"/>
  <c r="M24" i="1"/>
  <c r="H24" i="1"/>
  <c r="Y23" i="1"/>
  <c r="G23" i="1"/>
  <c r="X22" i="1"/>
  <c r="L22" i="1"/>
  <c r="AC21" i="1"/>
  <c r="K21" i="1"/>
  <c r="AB20" i="1"/>
  <c r="W20" i="1"/>
  <c r="J20" i="1"/>
  <c r="AB19" i="1"/>
  <c r="J19" i="1"/>
  <c r="AF18" i="1"/>
  <c r="N18" i="1"/>
  <c r="AF17" i="1"/>
  <c r="U17" i="1"/>
  <c r="H17" i="1"/>
  <c r="T16" i="1"/>
  <c r="H16" i="1"/>
  <c r="Y15" i="1"/>
  <c r="G15" i="1"/>
  <c r="X14" i="1"/>
  <c r="L14" i="1"/>
  <c r="X13" i="1"/>
  <c r="K13" i="1"/>
  <c r="W12" i="1"/>
  <c r="J12" i="1"/>
  <c r="AB11" i="1"/>
  <c r="J11" i="1"/>
  <c r="AD10" i="1"/>
  <c r="V10" i="1"/>
  <c r="H10" i="1"/>
  <c r="S63" i="1"/>
  <c r="AE46" i="1"/>
  <c r="G46" i="1"/>
  <c r="L45" i="1"/>
  <c r="S44" i="1"/>
  <c r="AD43" i="1"/>
  <c r="T40" i="1"/>
  <c r="Y39" i="1"/>
  <c r="J39" i="1"/>
  <c r="AB38" i="1"/>
  <c r="AF37" i="1"/>
  <c r="V37" i="1"/>
  <c r="I37" i="1"/>
  <c r="Z36" i="1"/>
  <c r="N36" i="1"/>
  <c r="Z35" i="1"/>
  <c r="M35" i="1"/>
  <c r="AD29" i="1"/>
  <c r="T29" i="1"/>
  <c r="AH28" i="1"/>
  <c r="W28" i="1"/>
  <c r="J28" i="1"/>
  <c r="AF27" i="1"/>
  <c r="N27" i="1"/>
  <c r="AE26" i="1"/>
  <c r="T26" i="1"/>
  <c r="AD25" i="1"/>
  <c r="T25" i="1"/>
  <c r="G25" i="1"/>
  <c r="X24" i="1"/>
  <c r="L24" i="1"/>
  <c r="AC23" i="1"/>
  <c r="R23" i="1"/>
  <c r="AH22" i="1"/>
  <c r="R22" i="1"/>
  <c r="AB21" i="1"/>
  <c r="AF20" i="1"/>
  <c r="V20" i="1"/>
  <c r="I20" i="1"/>
  <c r="U19" i="1"/>
  <c r="H19" i="1"/>
  <c r="Z18" i="1"/>
  <c r="H18" i="1"/>
  <c r="Y17" i="1"/>
  <c r="G17" i="1"/>
  <c r="X16" i="1"/>
  <c r="AH15" i="1"/>
  <c r="X15" i="1"/>
  <c r="K15" i="1"/>
  <c r="AB14" i="1"/>
  <c r="R14" i="1"/>
  <c r="AG13" i="1"/>
  <c r="AF12" i="1"/>
  <c r="N12" i="1"/>
  <c r="AF11" i="1"/>
  <c r="U11" i="1"/>
  <c r="I11" i="1"/>
  <c r="AC10" i="1"/>
  <c r="G10" i="1"/>
  <c r="AG62" i="1"/>
  <c r="J61" i="1"/>
  <c r="X59" i="1"/>
  <c r="J57" i="1"/>
  <c r="S55" i="1"/>
  <c r="U53" i="1"/>
  <c r="L52" i="1"/>
  <c r="T51" i="1"/>
  <c r="AF50" i="1"/>
  <c r="I50" i="1"/>
  <c r="M49" i="1"/>
  <c r="AA48" i="1"/>
  <c r="AE47" i="1"/>
  <c r="AC46" i="1"/>
  <c r="AH45" i="1"/>
  <c r="S45" i="1"/>
  <c r="AE44" i="1"/>
  <c r="V43" i="1"/>
  <c r="AF40" i="1"/>
  <c r="AD39" i="1"/>
  <c r="AF38" i="1"/>
  <c r="H38" i="1"/>
  <c r="M37" i="1"/>
  <c r="T36" i="1"/>
  <c r="X35" i="1"/>
  <c r="R29" i="1"/>
  <c r="AA28" i="1"/>
  <c r="D28" i="1"/>
  <c r="L27" i="1"/>
  <c r="S26" i="1"/>
  <c r="X25" i="1"/>
  <c r="AB24" i="1"/>
  <c r="AG23" i="1"/>
  <c r="J23" i="1"/>
  <c r="N22" i="1"/>
  <c r="U21" i="1"/>
  <c r="Z20" i="1"/>
  <c r="AD19" i="1"/>
  <c r="G19" i="1"/>
  <c r="L18" i="1"/>
  <c r="R17" i="1"/>
  <c r="W16" i="1"/>
  <c r="AB15" i="1"/>
  <c r="AF14" i="1"/>
  <c r="I14" i="1"/>
  <c r="N13" i="1"/>
  <c r="T12" i="1"/>
  <c r="Y11" i="1"/>
  <c r="AF10" i="1"/>
  <c r="N10" i="1"/>
  <c r="U41" i="1"/>
  <c r="H12" i="1"/>
  <c r="L41" i="1"/>
  <c r="AE20" i="1"/>
  <c r="S18" i="1"/>
  <c r="AB16" i="1"/>
  <c r="N14" i="1"/>
  <c r="Z12" i="1"/>
  <c r="T10" i="1"/>
  <c r="AB41" i="1"/>
  <c r="Z40" i="1"/>
  <c r="X39" i="1"/>
  <c r="Z38" i="1"/>
  <c r="AE37" i="1"/>
  <c r="H37" i="1"/>
  <c r="L36" i="1"/>
  <c r="S35" i="1"/>
  <c r="AH29" i="1"/>
  <c r="K29" i="1"/>
  <c r="V28" i="1"/>
  <c r="AD27" i="1"/>
  <c r="G27" i="1"/>
  <c r="L26" i="1"/>
  <c r="R25" i="1"/>
  <c r="W24" i="1"/>
  <c r="AB23" i="1"/>
  <c r="AF22" i="1"/>
  <c r="I22" i="1"/>
  <c r="N21" i="1"/>
  <c r="T20" i="1"/>
  <c r="Y19" i="1"/>
  <c r="AD18" i="1"/>
  <c r="AH17" i="1"/>
  <c r="K17" i="1"/>
  <c r="R16" i="1"/>
  <c r="V15" i="1"/>
  <c r="AA14" i="1"/>
  <c r="AF13" i="1"/>
  <c r="H13" i="1"/>
  <c r="M12" i="1"/>
  <c r="T11" i="1"/>
  <c r="AB10" i="1"/>
  <c r="J10" i="1"/>
  <c r="S40" i="1"/>
  <c r="N39" i="1"/>
  <c r="U38" i="1"/>
  <c r="Z37" i="1"/>
  <c r="AD36" i="1"/>
  <c r="G36" i="1"/>
  <c r="L35" i="1"/>
  <c r="AC29" i="1"/>
  <c r="F29" i="1"/>
  <c r="N28" i="1"/>
  <c r="Y27" i="1"/>
  <c r="AD26" i="1"/>
  <c r="AH25" i="1"/>
  <c r="K25" i="1"/>
  <c r="R24" i="1"/>
  <c r="V23" i="1"/>
  <c r="AA22" i="1"/>
  <c r="AF21" i="1"/>
  <c r="H21" i="1"/>
  <c r="M20" i="1"/>
  <c r="T19" i="1"/>
  <c r="X18" i="1"/>
  <c r="AC17" i="1"/>
  <c r="AH16" i="1"/>
  <c r="J16" i="1"/>
  <c r="V14" i="1"/>
  <c r="Z13" i="1"/>
  <c r="AE12" i="1"/>
  <c r="L11" i="1"/>
  <c r="X10" i="1"/>
  <c r="I40" i="1"/>
  <c r="I39" i="1"/>
  <c r="N38" i="1"/>
  <c r="T37" i="1"/>
  <c r="Y36" i="1"/>
  <c r="AD35" i="1"/>
  <c r="X29" i="1"/>
  <c r="AF28" i="1"/>
  <c r="I28" i="1"/>
  <c r="T27" i="1"/>
  <c r="X26" i="1"/>
  <c r="AC25" i="1"/>
  <c r="AH24" i="1"/>
  <c r="J24" i="1"/>
  <c r="V22" i="1"/>
  <c r="Z21" i="1"/>
  <c r="H20" i="1"/>
  <c r="L19" i="1"/>
  <c r="X17" i="1"/>
  <c r="AG15" i="1"/>
  <c r="J15" i="1"/>
  <c r="U13" i="1"/>
  <c r="AD11" i="1"/>
  <c r="H11" i="1"/>
  <c r="AD67" i="1" l="1"/>
  <c r="X30" i="1"/>
  <c r="L42" i="1"/>
  <c r="L67" i="1" s="1"/>
  <c r="O36" i="1"/>
  <c r="J30" i="1"/>
  <c r="AB30" i="1"/>
  <c r="O27" i="1"/>
  <c r="S67" i="1"/>
  <c r="T30" i="1"/>
  <c r="N30" i="1"/>
  <c r="AF30" i="1"/>
  <c r="O19" i="1"/>
  <c r="D30" i="1"/>
  <c r="X67" i="1"/>
  <c r="G30" i="1"/>
  <c r="O10" i="1"/>
  <c r="AC30" i="1"/>
  <c r="O17" i="1"/>
  <c r="O25" i="1"/>
  <c r="M42" i="1"/>
  <c r="M67" i="1" s="1"/>
  <c r="Z67" i="1"/>
  <c r="O46" i="1"/>
  <c r="H30" i="1"/>
  <c r="V30" i="1"/>
  <c r="AD30" i="1"/>
  <c r="O15" i="1"/>
  <c r="O23" i="1"/>
  <c r="F30" i="1"/>
  <c r="O29" i="1"/>
  <c r="I42" i="1"/>
  <c r="I67" i="1" s="1"/>
  <c r="N42" i="1"/>
  <c r="N67" i="1" s="1"/>
  <c r="V67" i="1"/>
  <c r="AA67" i="1"/>
  <c r="AF67" i="1"/>
  <c r="O45" i="1"/>
  <c r="O48" i="1"/>
  <c r="O51" i="1"/>
  <c r="O52" i="1"/>
  <c r="O64" i="1"/>
  <c r="O44" i="1"/>
  <c r="O53" i="1"/>
  <c r="K30" i="1"/>
  <c r="U30" i="1"/>
  <c r="Y30" i="1"/>
  <c r="AG30" i="1"/>
  <c r="E30" i="1"/>
  <c r="H42" i="1"/>
  <c r="H67" i="1" s="1"/>
  <c r="T67" i="1"/>
  <c r="AE67" i="1"/>
  <c r="O41" i="1"/>
  <c r="O43" i="1"/>
  <c r="L30" i="1"/>
  <c r="R30" i="1"/>
  <c r="Z30" i="1"/>
  <c r="AH30" i="1"/>
  <c r="I30" i="1"/>
  <c r="M30" i="1"/>
  <c r="S30" i="1"/>
  <c r="W30" i="1"/>
  <c r="AA30" i="1"/>
  <c r="AE30" i="1"/>
  <c r="O11" i="1"/>
  <c r="O13" i="1"/>
  <c r="O21" i="1"/>
  <c r="J42" i="1"/>
  <c r="J67" i="1" s="1"/>
  <c r="R67" i="1"/>
  <c r="W67" i="1"/>
  <c r="AB67" i="1"/>
  <c r="AH67" i="1"/>
  <c r="O38" i="1"/>
  <c r="O47" i="1"/>
  <c r="O56" i="1"/>
  <c r="O12" i="1"/>
  <c r="O14" i="1"/>
  <c r="O16" i="1"/>
  <c r="O18" i="1"/>
  <c r="O20" i="1"/>
  <c r="O22" i="1"/>
  <c r="O24" i="1"/>
  <c r="O26" i="1"/>
  <c r="C30" i="1"/>
  <c r="O28" i="1"/>
  <c r="G42" i="1"/>
  <c r="G67" i="1" s="1"/>
  <c r="O35" i="1"/>
  <c r="K42" i="1"/>
  <c r="K67" i="1" s="1"/>
  <c r="U67" i="1"/>
  <c r="Y67" i="1"/>
  <c r="AC67" i="1"/>
  <c r="AG67" i="1"/>
  <c r="O37" i="1"/>
  <c r="O39" i="1"/>
  <c r="O49" i="1"/>
  <c r="O50" i="1"/>
  <c r="O60" i="1"/>
  <c r="O66" i="1"/>
  <c r="O40" i="1"/>
  <c r="O54" i="1"/>
  <c r="O58" i="1"/>
  <c r="O62" i="1"/>
  <c r="O55" i="1"/>
  <c r="O57" i="1"/>
  <c r="O59" i="1"/>
  <c r="O61" i="1"/>
  <c r="O63" i="1"/>
  <c r="O65" i="1"/>
  <c r="N71" i="1"/>
  <c r="J71" i="1"/>
  <c r="G71" i="1"/>
  <c r="D67" i="1"/>
  <c r="L71" i="1"/>
  <c r="E67" i="1"/>
  <c r="K71" i="1"/>
  <c r="H71" i="1"/>
  <c r="I71" i="1"/>
  <c r="M71" i="1"/>
  <c r="F67" i="1"/>
  <c r="C67" i="1"/>
  <c r="O42" i="1" l="1"/>
  <c r="O67" i="1" s="1"/>
  <c r="O30" i="1"/>
  <c r="R71" i="1"/>
  <c r="S7" i="1" s="1"/>
  <c r="S71" i="1" s="1"/>
  <c r="T7" i="1" s="1"/>
  <c r="T71" i="1" s="1"/>
  <c r="U7" i="1" s="1"/>
  <c r="U71" i="1" s="1"/>
  <c r="V7" i="1" s="1"/>
  <c r="V71" i="1" s="1"/>
  <c r="W7" i="1" s="1"/>
  <c r="W71" i="1" s="1"/>
  <c r="X7" i="1" s="1"/>
  <c r="X71" i="1" s="1"/>
  <c r="Y7" i="1" s="1"/>
  <c r="Y71" i="1" s="1"/>
  <c r="Z7" i="1" s="1"/>
  <c r="Z71" i="1" s="1"/>
  <c r="AA7" i="1" s="1"/>
  <c r="AA71" i="1" s="1"/>
  <c r="AB7" i="1" s="1"/>
  <c r="AB71" i="1" s="1"/>
  <c r="AC7" i="1" s="1"/>
  <c r="AC71" i="1" s="1"/>
  <c r="AD7" i="1" s="1"/>
  <c r="AD71" i="1" s="1"/>
  <c r="AE7" i="1" s="1"/>
  <c r="AE71" i="1" s="1"/>
  <c r="AF7" i="1" s="1"/>
  <c r="AF71" i="1" s="1"/>
  <c r="AG7" i="1" s="1"/>
  <c r="AG71" i="1" s="1"/>
  <c r="AH7" i="1" s="1"/>
  <c r="P68" i="1"/>
  <c r="AI31" i="1"/>
  <c r="P31" i="1"/>
  <c r="AI68" i="1"/>
  <c r="AH71" i="1" l="1"/>
  <c r="C7" i="1"/>
  <c r="O71" i="1" l="1"/>
  <c r="C71" i="1"/>
  <c r="D7" i="1" s="1"/>
  <c r="D71" i="1" s="1"/>
  <c r="E7" i="1" s="1"/>
  <c r="E71" i="1" s="1"/>
  <c r="F7" i="1" s="1"/>
  <c r="F71" i="1" s="1"/>
</calcChain>
</file>

<file path=xl/sharedStrings.xml><?xml version="1.0" encoding="utf-8"?>
<sst xmlns="http://schemas.openxmlformats.org/spreadsheetml/2006/main" count="109" uniqueCount="101">
  <si>
    <t>BOARD OF PESTICIDES CONTROL - SUMMARY</t>
  </si>
  <si>
    <t>014-01A-0287-01 CASH REPORT</t>
  </si>
  <si>
    <t>As of:  10/6/2023</t>
  </si>
  <si>
    <t>CURRENT FISCAL YEAR 2024 (BY MONTH)</t>
  </si>
  <si>
    <t>HISTORICAL (BY FISCAL YEAR)</t>
  </si>
  <si>
    <t>TOTAL</t>
  </si>
  <si>
    <t>BALANCE FORWARD</t>
  </si>
  <si>
    <t>Revenues:</t>
  </si>
  <si>
    <t>1407</t>
  </si>
  <si>
    <t>REG INSECT &amp; FUNGICIDES</t>
  </si>
  <si>
    <t>1448</t>
  </si>
  <si>
    <t>SPECIAL LICENSES &amp; LEASES</t>
  </si>
  <si>
    <t>REGISTRATION FEE</t>
  </si>
  <si>
    <t>FED GRANTS FOR PUB HEALTH</t>
  </si>
  <si>
    <t>REGISTRATION FEES</t>
  </si>
  <si>
    <t>2637</t>
  </si>
  <si>
    <t>MISC SERVICES &amp; FEES</t>
  </si>
  <si>
    <t>SALE LABELS CARTONS</t>
  </si>
  <si>
    <t>SALE MAILING LISTS</t>
  </si>
  <si>
    <t>2671</t>
  </si>
  <si>
    <t>SALE OF PROMOTIONAL ITEMS</t>
  </si>
  <si>
    <t>OVERPAYMENTS TO BE REFUNDED</t>
  </si>
  <si>
    <t>2686</t>
  </si>
  <si>
    <t>MISC-INCOME</t>
  </si>
  <si>
    <t>RECOVERED COST</t>
  </si>
  <si>
    <t>2934</t>
  </si>
  <si>
    <t>TRANS FROM GENERAL FD SURPLUS</t>
  </si>
  <si>
    <t>2952</t>
  </si>
  <si>
    <t>ADJ TO PRIOR YEAR BAL/UNALLOCT</t>
  </si>
  <si>
    <t>2953</t>
  </si>
  <si>
    <t>ADJ OF ALL OTHER BALANCE FWD</t>
  </si>
  <si>
    <t>ADJ OF PERS SERV BALANCE FWD</t>
  </si>
  <si>
    <t>2968</t>
  </si>
  <si>
    <t>REG TRANSFER UNALLOCATED</t>
  </si>
  <si>
    <t>2978</t>
  </si>
  <si>
    <t>DICAP TRANSFER</t>
  </si>
  <si>
    <t>2979</t>
  </si>
  <si>
    <t>TRANSFER FOR INDIRECT COST</t>
  </si>
  <si>
    <t>2981</t>
  </si>
  <si>
    <t>LEGIS TRANSFER OF REVENUE</t>
  </si>
  <si>
    <t>TOTAL REVENUES</t>
  </si>
  <si>
    <t>Expenditures:</t>
  </si>
  <si>
    <t>31</t>
  </si>
  <si>
    <t>SALARIES AND WAGES</t>
  </si>
  <si>
    <t>32</t>
  </si>
  <si>
    <t>34</t>
  </si>
  <si>
    <t>36</t>
  </si>
  <si>
    <t>38</t>
  </si>
  <si>
    <t>39</t>
  </si>
  <si>
    <t>FRINGE BENEFITS</t>
  </si>
  <si>
    <t>31-39</t>
  </si>
  <si>
    <t>TOTAL SALARIES &amp; FRINGE</t>
  </si>
  <si>
    <t>40</t>
  </si>
  <si>
    <t>PROF. SERVICES, NOT BY STATE</t>
  </si>
  <si>
    <t>41</t>
  </si>
  <si>
    <t>PROF. SERVICES, BY STATE</t>
  </si>
  <si>
    <t>42</t>
  </si>
  <si>
    <t>TRAVEL EXPENSES, IN STATE</t>
  </si>
  <si>
    <t>43</t>
  </si>
  <si>
    <t>TRAVEL EXPENSES, OUT OF STATE</t>
  </si>
  <si>
    <t>44</t>
  </si>
  <si>
    <t>STATE VEHICLES OPERATION</t>
  </si>
  <si>
    <t>45</t>
  </si>
  <si>
    <t>UTILITY SERVICES</t>
  </si>
  <si>
    <t>46</t>
  </si>
  <si>
    <t>RENTS</t>
  </si>
  <si>
    <t>47</t>
  </si>
  <si>
    <t>REPAIRS</t>
  </si>
  <si>
    <t>48</t>
  </si>
  <si>
    <t>INSURANCE</t>
  </si>
  <si>
    <t>49</t>
  </si>
  <si>
    <t>GENERAL OPERATIONS</t>
  </si>
  <si>
    <t>50</t>
  </si>
  <si>
    <t>EMPLOYEE TRAINING</t>
  </si>
  <si>
    <t>51</t>
  </si>
  <si>
    <t>COMMODITIES - FOOD</t>
  </si>
  <si>
    <t>53</t>
  </si>
  <si>
    <t>TECHNOLOGY</t>
  </si>
  <si>
    <t>54</t>
  </si>
  <si>
    <t>CLOTHING</t>
  </si>
  <si>
    <t>55</t>
  </si>
  <si>
    <t>EQUIPMENT AND TECHNOLOGY</t>
  </si>
  <si>
    <t>56</t>
  </si>
  <si>
    <t>OFFICE &amp; OTHER SUPPLIES</t>
  </si>
  <si>
    <t>58</t>
  </si>
  <si>
    <t>HIGHWAY MATERIALS</t>
  </si>
  <si>
    <t>GRANTS TO CITIES AND TOWNS</t>
  </si>
  <si>
    <t>64</t>
  </si>
  <si>
    <t>GRANTS TO PUB AND PRIV ORGNS</t>
  </si>
  <si>
    <t>67</t>
  </si>
  <si>
    <t>ASSISTANCE AND RELIEF GRANT</t>
  </si>
  <si>
    <t>72</t>
  </si>
  <si>
    <t>EQUIPMENT</t>
  </si>
  <si>
    <t>82</t>
  </si>
  <si>
    <t>ADMINISTRATIVE CHARGES AND FEE</t>
  </si>
  <si>
    <t>85</t>
  </si>
  <si>
    <t>TRANSFERS</t>
  </si>
  <si>
    <t>90</t>
  </si>
  <si>
    <t>CHARGES TO ASSETS AND LIAB.</t>
  </si>
  <si>
    <t>TOTAL EXPENDITURES</t>
  </si>
  <si>
    <t>CURRENT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</si>
</sst>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3" fontId="4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43" fontId="1" fillId="0" borderId="0" xfId="0" applyNumberFormat="1" applyFont="1"/>
    <xf numFmtId="0" fontId="3" fillId="2" borderId="0" xfId="0" applyFont="1" applyFill="1"/>
    <xf numFmtId="43" fontId="3" fillId="0" borderId="0" xfId="0" applyNumberFormat="1" applyFont="1"/>
    <xf numFmtId="0" fontId="1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43" fontId="6" fillId="0" borderId="0" xfId="0" applyNumberFormat="1" applyFont="1"/>
    <xf numFmtId="0" fontId="5" fillId="2" borderId="0" xfId="0" applyFont="1" applyFill="1"/>
    <xf numFmtId="0" fontId="6" fillId="0" borderId="0" xfId="0" applyFont="1"/>
    <xf numFmtId="0" fontId="2" fillId="0" borderId="0" xfId="0" applyFont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3" fontId="6" fillId="2" borderId="0" xfId="0" applyNumberFormat="1" applyFont="1" applyFill="1"/>
    <xf numFmtId="43" fontId="5" fillId="0" borderId="0" xfId="0" applyNumberFormat="1" applyFont="1"/>
    <xf numFmtId="43" fontId="5" fillId="0" borderId="0" xfId="0" applyNumberFormat="1" applyFont="1" applyAlignment="1">
      <alignment horizontal="center"/>
    </xf>
    <xf numFmtId="49" fontId="6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43" fontId="6" fillId="0" borderId="3" xfId="0" applyNumberFormat="1" applyFont="1" applyBorder="1"/>
    <xf numFmtId="0" fontId="6" fillId="2" borderId="0" xfId="0" applyFont="1" applyFill="1"/>
    <xf numFmtId="49" fontId="6" fillId="5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40" fontId="6" fillId="0" borderId="0" xfId="0" applyNumberFormat="1" applyFont="1" applyAlignment="1">
      <alignment horizontal="center"/>
    </xf>
    <xf numFmtId="40" fontId="6" fillId="3" borderId="3" xfId="0" applyNumberFormat="1" applyFont="1" applyFill="1" applyBorder="1"/>
    <xf numFmtId="40" fontId="6" fillId="6" borderId="3" xfId="0" applyNumberFormat="1" applyFont="1" applyFill="1" applyBorder="1"/>
    <xf numFmtId="40" fontId="6" fillId="2" borderId="0" xfId="0" applyNumberFormat="1" applyFont="1" applyFill="1"/>
    <xf numFmtId="40" fontId="6" fillId="0" borderId="0" xfId="0" applyNumberFormat="1" applyFont="1"/>
    <xf numFmtId="49" fontId="0" fillId="0" borderId="0" xfId="0" applyNumberFormat="1" applyAlignment="1">
      <alignment horizontal="center"/>
    </xf>
    <xf numFmtId="43" fontId="0" fillId="0" borderId="0" xfId="0" applyNumberFormat="1"/>
    <xf numFmtId="43" fontId="2" fillId="0" borderId="0" xfId="0" applyNumberFormat="1" applyFont="1"/>
    <xf numFmtId="0" fontId="0" fillId="2" borderId="0" xfId="0" applyFill="1"/>
    <xf numFmtId="0" fontId="2" fillId="0" borderId="0" xfId="0" applyFont="1"/>
    <xf numFmtId="43" fontId="6" fillId="3" borderId="0" xfId="0" applyNumberFormat="1" applyFont="1" applyFill="1" applyAlignment="1">
      <alignment horizontal="center"/>
    </xf>
    <xf numFmtId="43" fontId="4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Admin/Betty%20Rancourt/Reports/014%20Dedicated%20Reports/Board%20of%20Pesticides%20Control/Cash%20report%20for%20the%20Board/Cash%20Report%20to%20the%20Board%20014-01A-0287-01%20BPC%2010-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Summary"/>
      <sheetName val="Historical Summary Cube"/>
      <sheetName val="Unit 4003 - BPC"/>
      <sheetName val="4003 Cube"/>
      <sheetName val="Unit 4302 - Cornell"/>
      <sheetName val="4302 Cube"/>
      <sheetName val="Unit 4343 - IPM"/>
      <sheetName val="4343 Cube"/>
      <sheetName val="Unit 4373 - Horticulture"/>
      <sheetName val="4373 Cube"/>
      <sheetName val="Unit 4403 Returnable Containers"/>
      <sheetName val="4403 Cube"/>
      <sheetName val="Unit MOSQ - Mosquito Monitoring"/>
      <sheetName val="MOSQ Cube"/>
      <sheetName val="0287 Cube"/>
    </sheetNames>
    <sheetDataSet>
      <sheetData sheetId="0"/>
      <sheetData sheetId="1">
        <row r="6">
          <cell r="A6" t="str">
            <v>Jrnl Posting Am</v>
          </cell>
          <cell r="AA6" t="str">
            <v>Jrnl Posting Am</v>
          </cell>
        </row>
        <row r="73">
          <cell r="AA73" t="str">
            <v>Jrnl Posting Am</v>
          </cell>
        </row>
        <row r="75">
          <cell r="A75" t="str">
            <v>Jrnl Posting Am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87D5-97EE-4D6F-A2E4-84F630D0C506}">
  <sheetPr>
    <tabColor theme="2" tint="-0.249977111117893"/>
    <pageSetUpPr fitToPage="1"/>
  </sheetPr>
  <dimension ref="A1:AQ71"/>
  <sheetViews>
    <sheetView tabSelected="1" zoomScale="70" zoomScaleNormal="70" workbookViewId="0">
      <pane xSplit="2" ySplit="6" topLeftCell="C7" activePane="bottomRight" state="frozen"/>
      <selection pane="topRight"/>
      <selection pane="bottomLeft"/>
      <selection pane="bottomRight" activeCell="AK46" sqref="AK46"/>
    </sheetView>
  </sheetViews>
  <sheetFormatPr defaultColWidth="9.1796875" defaultRowHeight="14.5" x14ac:dyDescent="0.35"/>
  <cols>
    <col min="1" max="1" width="15" style="36" bestFit="1" customWidth="1"/>
    <col min="2" max="2" width="36.54296875" bestFit="1" customWidth="1"/>
    <col min="3" max="3" width="15.453125" style="37" customWidth="1"/>
    <col min="4" max="6" width="15.453125" style="37" bestFit="1" customWidth="1"/>
    <col min="7" max="14" width="15.453125" style="37" hidden="1" customWidth="1"/>
    <col min="15" max="15" width="15.453125" style="38" bestFit="1" customWidth="1"/>
    <col min="16" max="17" width="3.54296875" style="39" customWidth="1"/>
    <col min="18" max="28" width="15.453125" style="37" hidden="1" customWidth="1"/>
    <col min="29" max="34" width="15.453125" style="37" customWidth="1"/>
    <col min="35" max="35" width="2.54296875" style="40" customWidth="1"/>
    <col min="36" max="36" width="3.54296875" style="40" customWidth="1"/>
  </cols>
  <sheetData>
    <row r="1" spans="1:43" ht="21" x14ac:dyDescent="0.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2" t="s">
        <v>0</v>
      </c>
      <c r="AD1" s="42"/>
      <c r="AE1" s="42"/>
      <c r="AF1" s="42"/>
      <c r="AG1" s="42"/>
      <c r="AH1" s="42"/>
      <c r="AI1" s="1"/>
      <c r="AJ1" s="1"/>
      <c r="AK1" s="1"/>
      <c r="AL1" s="1"/>
      <c r="AM1" s="1"/>
      <c r="AN1" s="1"/>
      <c r="AO1" s="1"/>
      <c r="AP1" s="1"/>
      <c r="AQ1" s="1"/>
    </row>
    <row r="2" spans="1:43" ht="21" x14ac:dyDescent="0.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2" t="s">
        <v>1</v>
      </c>
      <c r="AD2" s="42"/>
      <c r="AE2" s="42"/>
      <c r="AF2" s="42"/>
      <c r="AG2" s="42"/>
      <c r="AH2" s="42"/>
      <c r="AI2" s="1"/>
      <c r="AJ2" s="1"/>
      <c r="AK2" s="1"/>
      <c r="AL2" s="1"/>
      <c r="AM2" s="1"/>
      <c r="AN2" s="1"/>
      <c r="AO2" s="1"/>
      <c r="AP2" s="1"/>
      <c r="AQ2" s="1"/>
    </row>
    <row r="3" spans="1:43" ht="21" x14ac:dyDescent="0.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2" t="s">
        <v>2</v>
      </c>
      <c r="AD3" s="42"/>
      <c r="AE3" s="42"/>
      <c r="AF3" s="42"/>
      <c r="AG3" s="42"/>
      <c r="AH3" s="42"/>
      <c r="AI3" s="1"/>
      <c r="AJ3" s="1"/>
      <c r="AK3" s="1"/>
      <c r="AL3" s="1"/>
      <c r="AM3" s="1"/>
      <c r="AN3" s="1"/>
      <c r="AO3" s="1"/>
      <c r="AP3" s="1"/>
      <c r="AQ3" s="1"/>
    </row>
    <row r="4" spans="1:43" s="3" customFormat="1" x14ac:dyDescent="0.35">
      <c r="A4" s="2"/>
      <c r="C4" s="4">
        <v>45108</v>
      </c>
      <c r="D4" s="4">
        <v>45139</v>
      </c>
      <c r="E4" s="4">
        <v>45170</v>
      </c>
      <c r="F4" s="4">
        <v>45200</v>
      </c>
      <c r="G4" s="4">
        <v>45231</v>
      </c>
      <c r="H4" s="4">
        <v>45261</v>
      </c>
      <c r="I4" s="4">
        <v>45292</v>
      </c>
      <c r="J4" s="4">
        <v>45323</v>
      </c>
      <c r="K4" s="4">
        <v>45352</v>
      </c>
      <c r="L4" s="4">
        <v>45383</v>
      </c>
      <c r="M4" s="4">
        <v>45413</v>
      </c>
      <c r="N4" s="4">
        <v>45444</v>
      </c>
      <c r="O4" s="5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/>
      <c r="AJ4" s="8"/>
    </row>
    <row r="5" spans="1:43" s="10" customFormat="1" ht="15.5" x14ac:dyDescent="0.35">
      <c r="A5" s="9"/>
      <c r="C5" s="41" t="s">
        <v>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1"/>
      <c r="P5" s="12"/>
      <c r="Q5" s="12"/>
      <c r="R5" s="41" t="s">
        <v>4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13"/>
      <c r="AJ5" s="13"/>
    </row>
    <row r="6" spans="1:43" s="10" customFormat="1" ht="15.5" x14ac:dyDescent="0.35">
      <c r="A6" s="14"/>
      <c r="C6" s="15">
        <v>45108</v>
      </c>
      <c r="D6" s="15">
        <v>45139</v>
      </c>
      <c r="E6" s="15">
        <v>45170</v>
      </c>
      <c r="F6" s="15">
        <v>45200</v>
      </c>
      <c r="G6" s="15">
        <v>45231</v>
      </c>
      <c r="H6" s="15">
        <v>45261</v>
      </c>
      <c r="I6" s="15">
        <v>45292</v>
      </c>
      <c r="J6" s="15">
        <v>45323</v>
      </c>
      <c r="K6" s="15">
        <v>45352</v>
      </c>
      <c r="L6" s="15">
        <v>45383</v>
      </c>
      <c r="M6" s="15">
        <v>45413</v>
      </c>
      <c r="N6" s="15">
        <v>45444</v>
      </c>
      <c r="O6" s="16" t="s">
        <v>5</v>
      </c>
      <c r="P6" s="12"/>
      <c r="Q6" s="12"/>
      <c r="R6" s="17">
        <v>2008</v>
      </c>
      <c r="S6" s="17">
        <v>2009</v>
      </c>
      <c r="T6" s="17">
        <v>2010</v>
      </c>
      <c r="U6" s="17">
        <v>2011</v>
      </c>
      <c r="V6" s="17">
        <v>2012</v>
      </c>
      <c r="W6" s="17">
        <v>2013</v>
      </c>
      <c r="X6" s="17">
        <v>2014</v>
      </c>
      <c r="Y6" s="17">
        <v>2015</v>
      </c>
      <c r="Z6" s="17">
        <v>2016</v>
      </c>
      <c r="AA6" s="17">
        <v>2017</v>
      </c>
      <c r="AB6" s="18">
        <v>2018</v>
      </c>
      <c r="AC6" s="18">
        <v>2019</v>
      </c>
      <c r="AD6" s="18">
        <v>2020</v>
      </c>
      <c r="AE6" s="18">
        <v>2021</v>
      </c>
      <c r="AF6" s="18">
        <v>2022</v>
      </c>
      <c r="AG6" s="18">
        <v>2023</v>
      </c>
      <c r="AH6" s="18">
        <v>2024</v>
      </c>
      <c r="AI6" s="13"/>
      <c r="AJ6" s="13"/>
    </row>
    <row r="7" spans="1:43" s="11" customFormat="1" ht="15.5" x14ac:dyDescent="0.35">
      <c r="A7" s="16"/>
      <c r="B7" s="11" t="s">
        <v>6</v>
      </c>
      <c r="C7" s="11">
        <f>AH7</f>
        <v>1754990.6199999987</v>
      </c>
      <c r="D7" s="11">
        <f t="shared" ref="D7:N7" ca="1" si="0">IF(TODAY()&gt;=D4,C71,0)</f>
        <v>1656650.8699999987</v>
      </c>
      <c r="E7" s="11">
        <f t="shared" ca="1" si="0"/>
        <v>1521154.6199999987</v>
      </c>
      <c r="F7" s="11">
        <f t="shared" ca="1" si="0"/>
        <v>1376001.2399999988</v>
      </c>
      <c r="G7" s="11">
        <f t="shared" ca="1" si="0"/>
        <v>0</v>
      </c>
      <c r="H7" s="11">
        <f t="shared" ca="1" si="0"/>
        <v>0</v>
      </c>
      <c r="I7" s="11">
        <f t="shared" ca="1" si="0"/>
        <v>0</v>
      </c>
      <c r="J7" s="11">
        <f t="shared" ca="1" si="0"/>
        <v>0</v>
      </c>
      <c r="K7" s="11">
        <f t="shared" ca="1" si="0"/>
        <v>0</v>
      </c>
      <c r="L7" s="11">
        <f t="shared" ca="1" si="0"/>
        <v>0</v>
      </c>
      <c r="M7" s="11">
        <f t="shared" ca="1" si="0"/>
        <v>0</v>
      </c>
      <c r="N7" s="11">
        <f t="shared" ca="1" si="0"/>
        <v>0</v>
      </c>
      <c r="P7" s="19"/>
      <c r="Q7" s="19"/>
      <c r="R7" s="16">
        <v>673224.92</v>
      </c>
      <c r="S7" s="16">
        <f t="shared" ref="S7:AE7" si="1">R71</f>
        <v>821279.05999999982</v>
      </c>
      <c r="T7" s="16">
        <f t="shared" si="1"/>
        <v>971785.57999999938</v>
      </c>
      <c r="U7" s="16">
        <f t="shared" si="1"/>
        <v>1231982.8199999994</v>
      </c>
      <c r="V7" s="16">
        <f t="shared" si="1"/>
        <v>1119458.7899999993</v>
      </c>
      <c r="W7" s="16">
        <f t="shared" si="1"/>
        <v>957879.33999999845</v>
      </c>
      <c r="X7" s="16">
        <f t="shared" si="1"/>
        <v>1274930.0199999986</v>
      </c>
      <c r="Y7" s="16">
        <f t="shared" si="1"/>
        <v>1384757.7399999986</v>
      </c>
      <c r="Z7" s="16">
        <f t="shared" si="1"/>
        <v>1598681.1799999985</v>
      </c>
      <c r="AA7" s="16">
        <f t="shared" si="1"/>
        <v>1227036.6499999985</v>
      </c>
      <c r="AB7" s="16">
        <f t="shared" si="1"/>
        <v>1031207.5099999993</v>
      </c>
      <c r="AC7" s="16">
        <f t="shared" si="1"/>
        <v>1445067.0199999996</v>
      </c>
      <c r="AD7" s="16">
        <f t="shared" si="1"/>
        <v>1625992.6899999995</v>
      </c>
      <c r="AE7" s="16">
        <f t="shared" si="1"/>
        <v>1755844.2299999988</v>
      </c>
      <c r="AF7" s="16">
        <f>AE71</f>
        <v>1927321.9999999986</v>
      </c>
      <c r="AG7" s="16">
        <f>AF71</f>
        <v>2082379.1399999983</v>
      </c>
      <c r="AH7" s="16">
        <f>AG71</f>
        <v>1754990.6199999987</v>
      </c>
    </row>
    <row r="8" spans="1:43" s="10" customFormat="1" ht="15.5" x14ac:dyDescent="0.35">
      <c r="A8" s="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1"/>
      <c r="P8" s="12"/>
      <c r="Q8" s="12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3"/>
      <c r="AJ8" s="13"/>
    </row>
    <row r="9" spans="1:43" s="10" customFormat="1" ht="15.5" x14ac:dyDescent="0.35">
      <c r="A9" s="22" t="s">
        <v>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1"/>
      <c r="P9" s="12"/>
      <c r="Q9" s="12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3"/>
      <c r="AJ9" s="23"/>
    </row>
    <row r="10" spans="1:43" s="10" customFormat="1" ht="15.5" x14ac:dyDescent="0.35">
      <c r="A10" s="24" t="s">
        <v>8</v>
      </c>
      <c r="B10" s="10" t="s">
        <v>9</v>
      </c>
      <c r="C10" s="20">
        <v>25920</v>
      </c>
      <c r="D10" s="20">
        <v>43840</v>
      </c>
      <c r="E10" s="20">
        <v>22720</v>
      </c>
      <c r="F10" s="20">
        <v>2720</v>
      </c>
      <c r="G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Period].&amp;[5]"),0)</f>
        <v>0</v>
      </c>
      <c r="H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Period].&amp;[6]"),0)</f>
        <v>0</v>
      </c>
      <c r="I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Period].&amp;[7]"),0)</f>
        <v>0</v>
      </c>
      <c r="J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Period].&amp;[8]"),0)</f>
        <v>0</v>
      </c>
      <c r="K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Period].&amp;[9]"),0)</f>
        <v>0</v>
      </c>
      <c r="L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Period].&amp;[10]"),0)</f>
        <v>0</v>
      </c>
      <c r="M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Period].&amp;[11]"),0)</f>
        <v>0</v>
      </c>
      <c r="N10" s="20">
        <f>-IFERROR(GETPIVOTDATA("[Measures].[Jrnl Posting Am]",'[1]Historical Summary Cube'!$A$75,"[Revenue].[Rev Src]","[Revenue].[Rev Src].&amp;[1407]","[Revenue].[Rev Src Nm]","[Revenue].[Rev Src Nm].&amp;[REG INSECT &amp; FUNGICIDES]","[Accounting Period].[Fisc Period]","[Accounting Period].[Fisc Period].&amp;[12]"),0)</f>
        <v>0</v>
      </c>
      <c r="O10" s="11">
        <f t="shared" ref="O10:O29" si="2">SUM(C10:N10)</f>
        <v>95200</v>
      </c>
      <c r="P10" s="12"/>
      <c r="Q10" s="12"/>
      <c r="R10" s="20">
        <f>-IFERROR(GETPIVOTDATA("[Measures].[Jrnl Posting Am]",'[1]Historical Summary Cube'!$A$5,"[Accounting Period].[Fisc Yr]","[Accounting Period].[Fisc Yr].&amp;[2008]","[Revenue].[Rev Src]","[Revenue].[Rev Src].&amp;[1407]","[Revenue].[Rev Src Nm]","[Revenue].[Rev Src Nm].&amp;[REG INSECT &amp; FUNGICIDES]"),0)</f>
        <v>1301565</v>
      </c>
      <c r="S10" s="20">
        <f>-IFERROR(GETPIVOTDATA("[Measures].[Jrnl Posting Am]",'[1]Historical Summary Cube'!$A$5,"[Accounting Period].[Fisc Yr]","[Accounting Period].[Fisc Yr].&amp;[2009]","[Revenue].[Rev Src]","[Revenue].[Rev Src].&amp;[1407]","[Revenue].[Rev Src Nm]","[Revenue].[Rev Src Nm].&amp;[REG INSECT &amp; FUNGICIDES]"),0)</f>
        <v>1329960</v>
      </c>
      <c r="T10" s="20">
        <f>-IFERROR(GETPIVOTDATA("[Measures].[Jrnl Posting Am]",'[1]Historical Summary Cube'!$A$5,"[Accounting Period].[Fisc Yr]","[Accounting Period].[Fisc Yr].&amp;[2010]","[Revenue].[Rev Src]","[Revenue].[Rev Src].&amp;[1407]","[Revenue].[Rev Src Nm]","[Revenue].[Rev Src Nm].&amp;[REG INSECT &amp; FUNGICIDES]"),0)</f>
        <v>1551750</v>
      </c>
      <c r="U10" s="20">
        <f>-IFERROR(GETPIVOTDATA("[Measures].[Jrnl Posting Am]",'[1]Historical Summary Cube'!$A$5,"[Accounting Period].[Fisc Yr]","[Accounting Period].[Fisc Yr].&amp;[2011]","[Revenue].[Rev Src]","[Revenue].[Rev Src].&amp;[1407]","[Revenue].[Rev Src Nm]","[Revenue].[Rev Src Nm].&amp;[REG INSECT &amp; FUNGICIDES]"),0)</f>
        <v>1620850</v>
      </c>
      <c r="V10" s="20">
        <f>-IFERROR(GETPIVOTDATA("[Measures].[Jrnl Posting Am]",'[1]Historical Summary Cube'!$A$5,"[Accounting Period].[Fisc Yr]","[Accounting Period].[Fisc Yr].&amp;[2012]","[Revenue].[Rev Src]","[Revenue].[Rev Src].&amp;[1407]","[Revenue].[Rev Src Nm]","[Revenue].[Rev Src Nm].&amp;[REG INSECT &amp; FUNGICIDES]"),0)</f>
        <v>1696524.48</v>
      </c>
      <c r="W10" s="20">
        <f>-IFERROR(GETPIVOTDATA("[Measures].[Jrnl Posting Am]",'[1]Historical Summary Cube'!$A$5,"[Accounting Period].[Fisc Yr]","[Accounting Period].[Fisc Yr].&amp;[2013]","[Revenue].[Rev Src]","[Revenue].[Rev Src].&amp;[1407]","[Revenue].[Rev Src Nm]","[Revenue].[Rev Src Nm].&amp;[REG INSECT &amp; FUNGICIDES]"),0)</f>
        <v>1724850</v>
      </c>
      <c r="X10" s="20">
        <f>-IFERROR(GETPIVOTDATA("[Measures].[Jrnl Posting Am]",'[1]Historical Summary Cube'!$A$5,"[Accounting Period].[Fisc Yr]","[Accounting Period].[Fisc Yr].&amp;[2014]","[Revenue].[Rev Src]","[Revenue].[Rev Src].&amp;[1407]","[Revenue].[Rev Src Nm]","[Revenue].[Rev Src Nm].&amp;[REG INSECT &amp; FUNGICIDES]"),0)</f>
        <v>1817000</v>
      </c>
      <c r="Y10" s="20">
        <f>-IFERROR(GETPIVOTDATA("[Measures].[Jrnl Posting Am]",'[1]Historical Summary Cube'!$A$5,"[Accounting Period].[Fisc Yr]","[Accounting Period].[Fisc Yr].&amp;[2015]","[Revenue].[Rev Src]","[Revenue].[Rev Src].&amp;[1407]","[Revenue].[Rev Src Nm]","[Revenue].[Rev Src Nm].&amp;[REG INSECT &amp; FUNGICIDES]"),0)</f>
        <v>1922800</v>
      </c>
      <c r="Z10" s="20">
        <f>-IFERROR(GETPIVOTDATA("[Measures].[Jrnl Posting Am]",'[1]Historical Summary Cube'!$A$5,"[Accounting Period].[Fisc Yr]","[Accounting Period].[Fisc Yr].&amp;[2016]","[Revenue].[Rev Src]","[Revenue].[Rev Src].&amp;[1407]","[Revenue].[Rev Src Nm]","[Revenue].[Rev Src Nm].&amp;[REG INSECT &amp; FUNGICIDES]"),0)</f>
        <v>1956560</v>
      </c>
      <c r="AA10" s="20">
        <f>-IFERROR(GETPIVOTDATA("[Measures].[Jrnl Posting Am]",'[1]Historical Summary Cube'!$A$5,"[Accounting Period].[Fisc Yr]","[Accounting Period].[Fisc Yr].&amp;[2017]","[Revenue].[Rev Src]","[Revenue].[Rev Src].&amp;[1407]","[Revenue].[Rev Src Nm]","[Revenue].[Rev Src Nm].&amp;[REG INSECT &amp; FUNGICIDES]"),0)</f>
        <v>2027670</v>
      </c>
      <c r="AB10" s="20">
        <f>-IFERROR(GETPIVOTDATA("[Measures].[Jrnl Posting Am]",'[1]Historical Summary Cube'!$A$5,"[Accounting Period].[Fisc Yr]","[Accounting Period].[Fisc Yr].&amp;[2018]","[Revenue].[Rev Src]","[Revenue].[Rev Src].&amp;[1407]","[Revenue].[Rev Src Nm]","[Revenue].[Rev Src Nm].&amp;[REG INSECT &amp; FUNGICIDES]"),0)</f>
        <v>2036908</v>
      </c>
      <c r="AC10" s="20">
        <f>-IFERROR(GETPIVOTDATA("[Measures].[Jrnl Posting Am]",'[1]Historical Summary Cube'!$A$5,"[Accounting Period].[Fisc Yr]","[Accounting Period].[Fisc Yr].&amp;[2019]","[Revenue].[Rev Src]","[Revenue].[Rev Src].&amp;[1407]","[Revenue].[Rev Src Nm]","[Revenue].[Rev Src Nm].&amp;[REG INSECT &amp; FUNGICIDES]"),0)</f>
        <v>1995040</v>
      </c>
      <c r="AD10" s="20">
        <f>-IFERROR(GETPIVOTDATA("[Measures].[Jrnl Posting Am]",'[1]Historical Summary Cube'!$A$5,"[Accounting Period].[Fisc Yr]","[Accounting Period].[Fisc Yr].&amp;[2020]","[Revenue].[Rev Src]","[Revenue].[Rev Src].&amp;[1407]","[Revenue].[Rev Src Nm]","[Revenue].[Rev Src Nm].&amp;[REG INSECT &amp; FUNGICIDES]"),0)</f>
        <v>2071680</v>
      </c>
      <c r="AE10" s="20">
        <f>-IFERROR(GETPIVOTDATA("[Measures].[Jrnl Posting Am]",'[1]Historical Summary Cube'!$A$5,"[Accounting Period].[Fisc Yr]","[Accounting Period].[Fisc Yr].&amp;[2021]","[Revenue].[Rev Src]","[Revenue].[Rev Src].&amp;[1407]","[Revenue].[Rev Src Nm]","[Revenue].[Rev Src Nm].&amp;[REG INSECT &amp; FUNGICIDES]"),0)</f>
        <v>2039041</v>
      </c>
      <c r="AF10" s="20">
        <f>-IFERROR(GETPIVOTDATA("[Measures].[Jrnl Posting Am]",'[1]Historical Summary Cube'!$A$5,"[Accounting Period].[Fisc Yr]","[Accounting Period].[Fisc Yr].&amp;[2022]","[Revenue].[Rev Src]","[Revenue].[Rev Src].&amp;[1407]","[Revenue].[Rev Src Nm]","[Revenue].[Rev Src Nm].&amp;[REG INSECT &amp; FUNGICIDES]"),0)</f>
        <v>2145120</v>
      </c>
      <c r="AG10" s="20">
        <f>-IFERROR(GETPIVOTDATA("[Measures].[Jrnl Posting Am]",'[1]Historical Summary Cube'!$A$5,"[Accounting Period].[Fisc Yr]","[Accounting Period].[Fisc Yr].&amp;[2023]","[Revenue].[Rev Src]","[Revenue].[Rev Src].&amp;[1407]","[Revenue].[Rev Src Nm]","[Revenue].[Rev Src Nm].&amp;[REG INSECT &amp; FUNGICIDES]"),0)</f>
        <v>1726880</v>
      </c>
      <c r="AH10" s="20">
        <f>-IFERROR(GETPIVOTDATA("[Measures].[Jrnl Posting Am]",'[1]Historical Summary Cube'!$A$5,"[Accounting Period].[Fisc Yr]","[Accounting Period].[Fisc Yr].&amp;[2024]","[Revenue].[Rev Src]","[Revenue].[Rev Src].&amp;[1407]","[Revenue].[Rev Src Nm]","[Revenue].[Rev Src Nm].&amp;[REG INSECT &amp; FUNGICIDES]"),0)</f>
        <v>95200</v>
      </c>
      <c r="AI10" s="11"/>
      <c r="AJ10" s="11"/>
    </row>
    <row r="11" spans="1:43" s="10" customFormat="1" ht="15.5" x14ac:dyDescent="0.35">
      <c r="A11" s="25" t="s">
        <v>10</v>
      </c>
      <c r="B11" s="10" t="s">
        <v>11</v>
      </c>
      <c r="C11" s="20">
        <v>4405</v>
      </c>
      <c r="D11" s="20">
        <v>7095.01</v>
      </c>
      <c r="E11" s="20">
        <v>4135</v>
      </c>
      <c r="F11" s="20">
        <v>585</v>
      </c>
      <c r="G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Period].&amp;[5]"),0)</f>
        <v>0</v>
      </c>
      <c r="H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Period].&amp;[6]"),0)</f>
        <v>0</v>
      </c>
      <c r="I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Period].&amp;[7]"),0)</f>
        <v>0</v>
      </c>
      <c r="J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Period].&amp;[8]"),0)</f>
        <v>0</v>
      </c>
      <c r="K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Period].&amp;[9]"),0)</f>
        <v>0</v>
      </c>
      <c r="L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Period].&amp;[10]"),0)</f>
        <v>0</v>
      </c>
      <c r="M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Period].&amp;[11]"),0)</f>
        <v>0</v>
      </c>
      <c r="N11" s="20">
        <f>-IFERROR(GETPIVOTDATA("[Measures].[Jrnl Posting Am]",'[1]Historical Summary Cube'!$A$75,"[Revenue].[Rev Src]","[Revenue].[Rev Src].&amp;[1448]","[Revenue].[Rev Src Nm]","[Revenue].[Rev Src Nm].&amp;[SPECIAL LICENSES &amp; LEASES]","[Accounting Period].[Fisc Period]","[Accounting Period].[Fisc Period].&amp;[12]"),0)</f>
        <v>0</v>
      </c>
      <c r="O11" s="11">
        <f t="shared" si="2"/>
        <v>16220.01</v>
      </c>
      <c r="P11" s="12"/>
      <c r="Q11" s="12"/>
      <c r="R11" s="20">
        <f>-IFERROR(GETPIVOTDATA("[Measures].[Jrnl Posting Am]",'[1]Historical Summary Cube'!$A$5,"[Accounting Period].[Fisc Yr]","[Accounting Period].[Fisc Yr].&amp;[2008]","[Revenue].[Rev Src]","[Revenue].[Rev Src].&amp;[1448]","[Revenue].[Rev Src Nm]","[Revenue].[Rev Src Nm].&amp;[SPECIAL LICENSES &amp; LEASES]"),0)</f>
        <v>106515</v>
      </c>
      <c r="S11" s="20">
        <f>-IFERROR(GETPIVOTDATA("[Measures].[Jrnl Posting Am]",'[1]Historical Summary Cube'!$A$5,"[Accounting Period].[Fisc Yr]","[Accounting Period].[Fisc Yr].&amp;[2009]","[Revenue].[Rev Src]","[Revenue].[Rev Src].&amp;[1448]","[Revenue].[Rev Src Nm]","[Revenue].[Rev Src Nm].&amp;[SPECIAL LICENSES &amp; LEASES]"),0)</f>
        <v>102435</v>
      </c>
      <c r="T11" s="20">
        <f>-IFERROR(GETPIVOTDATA("[Measures].[Jrnl Posting Am]",'[1]Historical Summary Cube'!$A$5,"[Accounting Period].[Fisc Yr]","[Accounting Period].[Fisc Yr].&amp;[2010]","[Revenue].[Rev Src]","[Revenue].[Rev Src].&amp;[1448]","[Revenue].[Rev Src Nm]","[Revenue].[Rev Src Nm].&amp;[SPECIAL LICENSES &amp; LEASES]"),0)</f>
        <v>114100</v>
      </c>
      <c r="U11" s="20">
        <f>-IFERROR(GETPIVOTDATA("[Measures].[Jrnl Posting Am]",'[1]Historical Summary Cube'!$A$5,"[Accounting Period].[Fisc Yr]","[Accounting Period].[Fisc Yr].&amp;[2011]","[Revenue].[Rev Src]","[Revenue].[Rev Src].&amp;[1448]","[Revenue].[Rev Src Nm]","[Revenue].[Rev Src Nm].&amp;[SPECIAL LICENSES &amp; LEASES]"),0)</f>
        <v>108778</v>
      </c>
      <c r="V11" s="20">
        <f>-IFERROR(GETPIVOTDATA("[Measures].[Jrnl Posting Am]",'[1]Historical Summary Cube'!$A$5,"[Accounting Period].[Fisc Yr]","[Accounting Period].[Fisc Yr].&amp;[2012]","[Revenue].[Rev Src]","[Revenue].[Rev Src].&amp;[1448]","[Revenue].[Rev Src Nm]","[Revenue].[Rev Src Nm].&amp;[SPECIAL LICENSES &amp; LEASES]"),0)</f>
        <v>117930</v>
      </c>
      <c r="W11" s="20">
        <f>-IFERROR(GETPIVOTDATA("[Measures].[Jrnl Posting Am]",'[1]Historical Summary Cube'!$A$5,"[Accounting Period].[Fisc Yr]","[Accounting Period].[Fisc Yr].&amp;[2013]","[Revenue].[Rev Src]","[Revenue].[Rev Src].&amp;[1448]","[Revenue].[Rev Src Nm]","[Revenue].[Rev Src Nm].&amp;[SPECIAL LICENSES &amp; LEASES]"),0)</f>
        <v>114280</v>
      </c>
      <c r="X11" s="20">
        <f>-IFERROR(GETPIVOTDATA("[Measures].[Jrnl Posting Am]",'[1]Historical Summary Cube'!$A$5,"[Accounting Period].[Fisc Yr]","[Accounting Period].[Fisc Yr].&amp;[2014]","[Revenue].[Rev Src]","[Revenue].[Rev Src].&amp;[1448]","[Revenue].[Rev Src Nm]","[Revenue].[Rev Src Nm].&amp;[SPECIAL LICENSES &amp; LEASES]"),0)</f>
        <v>124360</v>
      </c>
      <c r="Y11" s="20">
        <f>-IFERROR(GETPIVOTDATA("[Measures].[Jrnl Posting Am]",'[1]Historical Summary Cube'!$A$5,"[Accounting Period].[Fisc Yr]","[Accounting Period].[Fisc Yr].&amp;[2015]","[Revenue].[Rev Src]","[Revenue].[Rev Src].&amp;[1448]","[Revenue].[Rev Src Nm]","[Revenue].[Rev Src Nm].&amp;[SPECIAL LICENSES &amp; LEASES]"),0)</f>
        <v>132676</v>
      </c>
      <c r="Z11" s="20">
        <f>-IFERROR(GETPIVOTDATA("[Measures].[Jrnl Posting Am]",'[1]Historical Summary Cube'!$A$5,"[Accounting Period].[Fisc Yr]","[Accounting Period].[Fisc Yr].&amp;[2016]","[Revenue].[Rev Src]","[Revenue].[Rev Src].&amp;[1448]","[Revenue].[Rev Src Nm]","[Revenue].[Rev Src Nm].&amp;[SPECIAL LICENSES &amp; LEASES]"),0)</f>
        <v>135345</v>
      </c>
      <c r="AA11" s="20">
        <f>-IFERROR(GETPIVOTDATA("[Measures].[Jrnl Posting Am]",'[1]Historical Summary Cube'!$A$5,"[Accounting Period].[Fisc Yr]","[Accounting Period].[Fisc Yr].&amp;[2017]","[Revenue].[Rev Src]","[Revenue].[Rev Src].&amp;[1448]","[Revenue].[Rev Src Nm]","[Revenue].[Rev Src Nm].&amp;[SPECIAL LICENSES &amp; LEASES]"),0)</f>
        <v>166620</v>
      </c>
      <c r="AB11" s="20">
        <f>-IFERROR(GETPIVOTDATA("[Measures].[Jrnl Posting Am]",'[1]Historical Summary Cube'!$A$5,"[Accounting Period].[Fisc Yr]","[Accounting Period].[Fisc Yr].&amp;[2018]","[Revenue].[Rev Src]","[Revenue].[Rev Src].&amp;[1448]","[Revenue].[Rev Src Nm]","[Revenue].[Rev Src Nm].&amp;[SPECIAL LICENSES &amp; LEASES]"),0)</f>
        <v>176977.1</v>
      </c>
      <c r="AC11" s="20">
        <f>-IFERROR(GETPIVOTDATA("[Measures].[Jrnl Posting Am]",'[1]Historical Summary Cube'!$A$5,"[Accounting Period].[Fisc Yr]","[Accounting Period].[Fisc Yr].&amp;[2019]","[Revenue].[Rev Src]","[Revenue].[Rev Src].&amp;[1448]","[Revenue].[Rev Src Nm]","[Revenue].[Rev Src Nm].&amp;[SPECIAL LICENSES &amp; LEASES]"),0)</f>
        <v>87985</v>
      </c>
      <c r="AD11" s="20">
        <f>-IFERROR(GETPIVOTDATA("[Measures].[Jrnl Posting Am]",'[1]Historical Summary Cube'!$A$5,"[Accounting Period].[Fisc Yr]","[Accounting Period].[Fisc Yr].&amp;[2020]","[Revenue].[Rev Src]","[Revenue].[Rev Src].&amp;[1448]","[Revenue].[Rev Src Nm]","[Revenue].[Rev Src Nm].&amp;[SPECIAL LICENSES &amp; LEASES]"),0)</f>
        <v>144232.01</v>
      </c>
      <c r="AE11" s="20">
        <f>-IFERROR(GETPIVOTDATA("[Measures].[Jrnl Posting Am]",'[1]Historical Summary Cube'!$A$5,"[Accounting Period].[Fisc Yr]","[Accounting Period].[Fisc Yr].&amp;[2021]","[Revenue].[Rev Src]","[Revenue].[Rev Src].&amp;[1448]","[Revenue].[Rev Src Nm]","[Revenue].[Rev Src Nm].&amp;[SPECIAL LICENSES &amp; LEASES]"),0)</f>
        <v>166465</v>
      </c>
      <c r="AF11" s="20">
        <f>-IFERROR(GETPIVOTDATA("[Measures].[Jrnl Posting Am]",'[1]Historical Summary Cube'!$A$5,"[Accounting Period].[Fisc Yr]","[Accounting Period].[Fisc Yr].&amp;[2022]","[Revenue].[Rev Src]","[Revenue].[Rev Src].&amp;[1448]","[Revenue].[Rev Src Nm]","[Revenue].[Rev Src Nm].&amp;[SPECIAL LICENSES &amp; LEASES]"),0)</f>
        <v>123645.35</v>
      </c>
      <c r="AG11" s="20">
        <f>-IFERROR(GETPIVOTDATA("[Measures].[Jrnl Posting Am]",'[1]Historical Summary Cube'!$A$5,"[Accounting Period].[Fisc Yr]","[Accounting Period].[Fisc Yr].&amp;[2023]","[Revenue].[Rev Src]","[Revenue].[Rev Src].&amp;[1448]","[Revenue].[Rev Src Nm]","[Revenue].[Rev Src Nm].&amp;[SPECIAL LICENSES &amp; LEASES]"),0)</f>
        <v>152190.03000000003</v>
      </c>
      <c r="AH11" s="20">
        <f>-IFERROR(GETPIVOTDATA("[Measures].[Jrnl Posting Am]",'[1]Historical Summary Cube'!$A$5,"[Accounting Period].[Fisc Yr]","[Accounting Period].[Fisc Yr].&amp;[2024]","[Revenue].[Rev Src]","[Revenue].[Rev Src].&amp;[1448]","[Revenue].[Rev Src Nm]","[Revenue].[Rev Src Nm].&amp;[SPECIAL LICENSES &amp; LEASES]"),0)</f>
        <v>16220.01</v>
      </c>
      <c r="AI11" s="11"/>
      <c r="AJ11" s="11"/>
    </row>
    <row r="12" spans="1:43" s="10" customFormat="1" ht="15.5" x14ac:dyDescent="0.35">
      <c r="A12" s="25">
        <v>1959</v>
      </c>
      <c r="B12" s="10" t="s">
        <v>12</v>
      </c>
      <c r="C12" s="20">
        <v>0</v>
      </c>
      <c r="D12" s="20">
        <v>0</v>
      </c>
      <c r="E12" s="20">
        <v>0</v>
      </c>
      <c r="F12" s="20">
        <v>0</v>
      </c>
      <c r="G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Period].&amp;[5]"),0)</f>
        <v>0</v>
      </c>
      <c r="H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Period].&amp;[6]"),0)</f>
        <v>0</v>
      </c>
      <c r="I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Period].&amp;[7]"),0)</f>
        <v>0</v>
      </c>
      <c r="J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Period].&amp;[8]"),0)</f>
        <v>0</v>
      </c>
      <c r="K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Period].&amp;[9]"),0)</f>
        <v>0</v>
      </c>
      <c r="L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Period].&amp;[10]"),0)</f>
        <v>0</v>
      </c>
      <c r="M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Period].&amp;[11]"),0)</f>
        <v>0</v>
      </c>
      <c r="N12" s="20">
        <f>-IFERROR(GETPIVOTDATA("[Measures].[Jrnl Posting Am]",'[1]Historical Summary Cube'!$A$75,"[Revenue].[Rev Src]","[Revenue].[Rev Src].&amp;[1959]","[Revenue].[Rev Src Nm]","[Revenue].[Rev Src Nm].&amp;[REGISTRATION FEE]","[Accounting Period].[Fisc Period]","[Accounting Period].[Fisc Period].&amp;[12]"),0)</f>
        <v>0</v>
      </c>
      <c r="O12" s="11">
        <f t="shared" si="2"/>
        <v>0</v>
      </c>
      <c r="P12" s="12"/>
      <c r="Q12" s="12"/>
      <c r="R12" s="20">
        <f>-IFERROR(GETPIVOTDATA("[Measures].[Jrnl Posting Am]",'[1]Historical Summary Cube'!$A$5,"[Accounting Period].[Fisc Yr]","[Accounting Period].[Fisc Yr].&amp;[2008]","[Revenue].[Rev Src]","[Revenue].[Rev Src].&amp;[1959]","[Revenue].[Rev Src Nm]","[Revenue].[Rev Src Nm].&amp;[REGISTRATION FEE]"),0)</f>
        <v>0</v>
      </c>
      <c r="S12" s="20">
        <f>-IFERROR(GETPIVOTDATA("[Measures].[Jrnl Posting Am]",'[1]Historical Summary Cube'!$A$5,"[Accounting Period].[Fisc Yr]","[Accounting Period].[Fisc Yr].&amp;[2009]","[Revenue].[Rev Src]","[Revenue].[Rev Src].&amp;[1959]","[Revenue].[Rev Src Nm]","[Revenue].[Rev Src Nm].&amp;[REGISTRATION FEE]"),0)</f>
        <v>0</v>
      </c>
      <c r="T12" s="20">
        <f>-IFERROR(GETPIVOTDATA("[Measures].[Jrnl Posting Am]",'[1]Historical Summary Cube'!$A$5,"[Accounting Period].[Fisc Yr]","[Accounting Period].[Fisc Yr].&amp;[2010]","[Revenue].[Rev Src]","[Revenue].[Rev Src].&amp;[1959]","[Revenue].[Rev Src Nm]","[Revenue].[Rev Src Nm].&amp;[REGISTRATION FEE]"),0)</f>
        <v>0</v>
      </c>
      <c r="U12" s="20">
        <f>-IFERROR(GETPIVOTDATA("[Measures].[Jrnl Posting Am]",'[1]Historical Summary Cube'!$A$5,"[Accounting Period].[Fisc Yr]","[Accounting Period].[Fisc Yr].&amp;[2011]","[Revenue].[Rev Src]","[Revenue].[Rev Src].&amp;[1959]","[Revenue].[Rev Src Nm]","[Revenue].[Rev Src Nm].&amp;[REGISTRATION FEE]"),0)</f>
        <v>0</v>
      </c>
      <c r="V12" s="20">
        <f>-IFERROR(GETPIVOTDATA("[Measures].[Jrnl Posting Am]",'[1]Historical Summary Cube'!$A$5,"[Accounting Period].[Fisc Yr]","[Accounting Period].[Fisc Yr].&amp;[2012]","[Revenue].[Rev Src]","[Revenue].[Rev Src].&amp;[1959]","[Revenue].[Rev Src Nm]","[Revenue].[Rev Src Nm].&amp;[REGISTRATION FEE]"),0)</f>
        <v>0</v>
      </c>
      <c r="W12" s="20">
        <f>-IFERROR(GETPIVOTDATA("[Measures].[Jrnl Posting Am]",'[1]Historical Summary Cube'!$A$5,"[Accounting Period].[Fisc Yr]","[Accounting Period].[Fisc Yr].&amp;[2013]","[Revenue].[Rev Src]","[Revenue].[Rev Src].&amp;[1959]","[Revenue].[Rev Src Nm]","[Revenue].[Rev Src Nm].&amp;[REGISTRATION FEE]"),0)</f>
        <v>0</v>
      </c>
      <c r="X12" s="20">
        <f>-IFERROR(GETPIVOTDATA("[Measures].[Jrnl Posting Am]",'[1]Historical Summary Cube'!$A$5,"[Accounting Period].[Fisc Yr]","[Accounting Period].[Fisc Yr].&amp;[2014]","[Revenue].[Rev Src]","[Revenue].[Rev Src].&amp;[1959]","[Revenue].[Rev Src Nm]","[Revenue].[Rev Src Nm].&amp;[REGISTRATION FEE]"),0)</f>
        <v>0</v>
      </c>
      <c r="Y12" s="20">
        <f>-IFERROR(GETPIVOTDATA("[Measures].[Jrnl Posting Am]",'[1]Historical Summary Cube'!$A$5,"[Accounting Period].[Fisc Yr]","[Accounting Period].[Fisc Yr].&amp;[2015]","[Revenue].[Rev Src]","[Revenue].[Rev Src].&amp;[1959]","[Revenue].[Rev Src Nm]","[Revenue].[Rev Src Nm].&amp;[REGISTRATION FEE]"),0)</f>
        <v>0</v>
      </c>
      <c r="Z12" s="20">
        <f>-IFERROR(GETPIVOTDATA("[Measures].[Jrnl Posting Am]",'[1]Historical Summary Cube'!$A$5,"[Accounting Period].[Fisc Yr]","[Accounting Period].[Fisc Yr].&amp;[2016]","[Revenue].[Rev Src]","[Revenue].[Rev Src].&amp;[1959]","[Revenue].[Rev Src Nm]","[Revenue].[Rev Src Nm].&amp;[REGISTRATION FEE]"),0)</f>
        <v>0</v>
      </c>
      <c r="AA12" s="20">
        <f>-IFERROR(GETPIVOTDATA("[Measures].[Jrnl Posting Am]",'[1]Historical Summary Cube'!$A$5,"[Accounting Period].[Fisc Yr]","[Accounting Period].[Fisc Yr].&amp;[2017]","[Revenue].[Rev Src]","[Revenue].[Rev Src].&amp;[1959]","[Revenue].[Rev Src Nm]","[Revenue].[Rev Src Nm].&amp;[REGISTRATION FEE]"),0)</f>
        <v>0</v>
      </c>
      <c r="AB12" s="20">
        <f>-IFERROR(GETPIVOTDATA("[Measures].[Jrnl Posting Am]",'[1]Historical Summary Cube'!$A$5,"[Accounting Period].[Fisc Yr]","[Accounting Period].[Fisc Yr].&amp;[2018]","[Revenue].[Rev Src]","[Revenue].[Rev Src].&amp;[1959]","[Revenue].[Rev Src Nm]","[Revenue].[Rev Src Nm].&amp;[REGISTRATION FEE]"),0)</f>
        <v>0</v>
      </c>
      <c r="AC12" s="20">
        <f>-IFERROR(GETPIVOTDATA("[Measures].[Jrnl Posting Am]",'[1]Historical Summary Cube'!$A$5,"[Accounting Period].[Fisc Yr]","[Accounting Period].[Fisc Yr].&amp;[2019]","[Revenue].[Rev Src]","[Revenue].[Rev Src].&amp;[1959]","[Revenue].[Rev Src Nm]","[Revenue].[Rev Src Nm].&amp;[REGISTRATION FEE]"),0)</f>
        <v>0</v>
      </c>
      <c r="AD12" s="20">
        <f>-IFERROR(GETPIVOTDATA("[Measures].[Jrnl Posting Am]",'[1]Historical Summary Cube'!$A$5,"[Accounting Period].[Fisc Yr]","[Accounting Period].[Fisc Yr].&amp;[2020]","[Revenue].[Rev Src]","[Revenue].[Rev Src].&amp;[1959]","[Revenue].[Rev Src Nm]","[Revenue].[Rev Src Nm].&amp;[REGISTRATION FEE]"),0)</f>
        <v>150</v>
      </c>
      <c r="AE12" s="20">
        <f>-IFERROR(GETPIVOTDATA("[Measures].[Jrnl Posting Am]",'[1]Historical Summary Cube'!$A$5,"[Accounting Period].[Fisc Yr]","[Accounting Period].[Fisc Yr].&amp;[2021]","[Revenue].[Rev Src]","[Revenue].[Rev Src].&amp;[1959]","[Revenue].[Rev Src Nm]","[Revenue].[Rev Src Nm].&amp;[REGISTRATION FEE]"),0)</f>
        <v>0</v>
      </c>
      <c r="AF12" s="20">
        <f>-IFERROR(GETPIVOTDATA("[Measures].[Jrnl Posting Am]",'[1]Historical Summary Cube'!$A$5,"[Accounting Period].[Fisc Yr]","[Accounting Period].[Fisc Yr].&amp;[2022]","[Revenue].[Rev Src]","[Revenue].[Rev Src].&amp;[1959]","[Revenue].[Rev Src Nm]","[Revenue].[Rev Src Nm].&amp;[REGISTRATION FEE]"),0)</f>
        <v>0</v>
      </c>
      <c r="AG12" s="20">
        <f>-IFERROR(GETPIVOTDATA("[Measures].[Jrnl Posting Am]",'[1]Historical Summary Cube'!$A$5,"[Accounting Period].[Fisc Yr]","[Accounting Period].[Fisc Yr].&amp;[2023]","[Revenue].[Rev Src]","[Revenue].[Rev Src].&amp;[1959]","[Revenue].[Rev Src Nm]","[Revenue].[Rev Src Nm].&amp;[REGISTRATION FEE]"),0)</f>
        <v>0</v>
      </c>
      <c r="AH12" s="20">
        <f>-IFERROR(GETPIVOTDATA("[Measures].[Jrnl Posting Am]",'[1]Historical Summary Cube'!$A$5,"[Accounting Period].[Fisc Yr]","[Accounting Period].[Fisc Yr].&amp;[2024]","[Revenue].[Rev Src]","[Revenue].[Rev Src].&amp;[1959]","[Revenue].[Rev Src Nm]","[Revenue].[Rev Src Nm].&amp;[REGISTRATION FEE]"),0)</f>
        <v>0</v>
      </c>
      <c r="AI12" s="11"/>
      <c r="AJ12" s="11"/>
    </row>
    <row r="13" spans="1:43" s="10" customFormat="1" ht="15.5" x14ac:dyDescent="0.35">
      <c r="A13" s="25">
        <v>2206</v>
      </c>
      <c r="B13" s="10" t="s">
        <v>13</v>
      </c>
      <c r="C13" s="20">
        <v>0</v>
      </c>
      <c r="D13" s="20">
        <v>0</v>
      </c>
      <c r="E13" s="20">
        <v>0</v>
      </c>
      <c r="F13" s="20">
        <v>0</v>
      </c>
      <c r="G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Period].&amp;[5]"),0)</f>
        <v>0</v>
      </c>
      <c r="H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Period].&amp;[6]"),0)</f>
        <v>0</v>
      </c>
      <c r="I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Period].&amp;[7]"),0)</f>
        <v>0</v>
      </c>
      <c r="J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Period].&amp;[8]"),0)</f>
        <v>0</v>
      </c>
      <c r="K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Period].&amp;[9]"),0)</f>
        <v>0</v>
      </c>
      <c r="L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Period].&amp;[10]"),0)</f>
        <v>0</v>
      </c>
      <c r="M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Period].&amp;[11]"),0)</f>
        <v>0</v>
      </c>
      <c r="N13" s="20">
        <f>-IFERROR(GETPIVOTDATA("[Measures].[Jrnl Posting Am]",'[1]Historical Summary Cube'!$A$75,"[Revenue].[Rev Src]","[Revenue].[Rev Src].&amp;[2206]","[Revenue].[Rev Src Nm]","[Revenue].[Rev Src Nm].&amp;[FED GRANTS FOR PUB HEALTH]","[Accounting Period].[Fisc Period]","[Accounting Period].[Fisc Period].&amp;[12]"),0)</f>
        <v>0</v>
      </c>
      <c r="O13" s="11">
        <f t="shared" si="2"/>
        <v>0</v>
      </c>
      <c r="P13" s="12"/>
      <c r="Q13" s="12"/>
      <c r="R13" s="20">
        <f>-IFERROR(GETPIVOTDATA("[Measures].[Jrnl Posting Am]",'[1]Historical Summary Cube'!$A$5,"[Accounting Period].[Fisc Yr]","[Accounting Period].[Fisc Yr].&amp;[2008]","[Revenue].[Rev Src]","[Revenue].[Rev Src].&amp;[2206]","[Revenue].[Rev Src Nm]","[Revenue].[Rev Src Nm].&amp;[FED GRANTS FOR PUB HEALTH]"),0)</f>
        <v>0</v>
      </c>
      <c r="S13" s="20">
        <f>-IFERROR(GETPIVOTDATA("[Measures].[Jrnl Posting Am]",'[1]Historical Summary Cube'!$A$5,"[Accounting Period].[Fisc Yr]","[Accounting Period].[Fisc Yr].&amp;[2009]","[Revenue].[Rev Src]","[Revenue].[Rev Src].&amp;[2206]","[Revenue].[Rev Src Nm]","[Revenue].[Rev Src Nm].&amp;[FED GRANTS FOR PUB HEALTH]"),0)</f>
        <v>0</v>
      </c>
      <c r="T13" s="20">
        <f>-IFERROR(GETPIVOTDATA("[Measures].[Jrnl Posting Am]",'[1]Historical Summary Cube'!$A$5,"[Accounting Period].[Fisc Yr]","[Accounting Period].[Fisc Yr].&amp;[2010]","[Revenue].[Rev Src]","[Revenue].[Rev Src].&amp;[2206]","[Revenue].[Rev Src Nm]","[Revenue].[Rev Src Nm].&amp;[FED GRANTS FOR PUB HEALTH]"),0)</f>
        <v>0</v>
      </c>
      <c r="U13" s="20">
        <f>-IFERROR(GETPIVOTDATA("[Measures].[Jrnl Posting Am]",'[1]Historical Summary Cube'!$A$5,"[Accounting Period].[Fisc Yr]","[Accounting Period].[Fisc Yr].&amp;[2011]","[Revenue].[Rev Src]","[Revenue].[Rev Src].&amp;[2206]","[Revenue].[Rev Src Nm]","[Revenue].[Rev Src Nm].&amp;[FED GRANTS FOR PUB HEALTH]"),0)</f>
        <v>0</v>
      </c>
      <c r="V13" s="20">
        <f>-IFERROR(GETPIVOTDATA("[Measures].[Jrnl Posting Am]",'[1]Historical Summary Cube'!$A$5,"[Accounting Period].[Fisc Yr]","[Accounting Period].[Fisc Yr].&amp;[2012]","[Revenue].[Rev Src]","[Revenue].[Rev Src].&amp;[2206]","[Revenue].[Rev Src Nm]","[Revenue].[Rev Src Nm].&amp;[FED GRANTS FOR PUB HEALTH]"),0)</f>
        <v>0</v>
      </c>
      <c r="W13" s="20">
        <f>-IFERROR(GETPIVOTDATA("[Measures].[Jrnl Posting Am]",'[1]Historical Summary Cube'!$A$5,"[Accounting Period].[Fisc Yr]","[Accounting Period].[Fisc Yr].&amp;[2013]","[Revenue].[Rev Src]","[Revenue].[Rev Src].&amp;[2206]","[Revenue].[Rev Src Nm]","[Revenue].[Rev Src Nm].&amp;[FED GRANTS FOR PUB HEALTH]"),0)</f>
        <v>0</v>
      </c>
      <c r="X13" s="20">
        <f>-IFERROR(GETPIVOTDATA("[Measures].[Jrnl Posting Am]",'[1]Historical Summary Cube'!$A$5,"[Accounting Period].[Fisc Yr]","[Accounting Period].[Fisc Yr].&amp;[2014]","[Revenue].[Rev Src]","[Revenue].[Rev Src].&amp;[2206]","[Revenue].[Rev Src Nm]","[Revenue].[Rev Src Nm].&amp;[FED GRANTS FOR PUB HEALTH]"),0)</f>
        <v>0</v>
      </c>
      <c r="Y13" s="20">
        <f>-IFERROR(GETPIVOTDATA("[Measures].[Jrnl Posting Am]",'[1]Historical Summary Cube'!$A$5,"[Accounting Period].[Fisc Yr]","[Accounting Period].[Fisc Yr].&amp;[2015]","[Revenue].[Rev Src]","[Revenue].[Rev Src].&amp;[2206]","[Revenue].[Rev Src Nm]","[Revenue].[Rev Src Nm].&amp;[FED GRANTS FOR PUB HEALTH]"),0)</f>
        <v>0</v>
      </c>
      <c r="Z13" s="20">
        <f>-IFERROR(GETPIVOTDATA("[Measures].[Jrnl Posting Am]",'[1]Historical Summary Cube'!$A$5,"[Accounting Period].[Fisc Yr]","[Accounting Period].[Fisc Yr].&amp;[2016]","[Revenue].[Rev Src]","[Revenue].[Rev Src].&amp;[2206]","[Revenue].[Rev Src Nm]","[Revenue].[Rev Src Nm].&amp;[FED GRANTS FOR PUB HEALTH]"),0)</f>
        <v>0</v>
      </c>
      <c r="AA13" s="20">
        <f>-IFERROR(GETPIVOTDATA("[Measures].[Jrnl Posting Am]",'[1]Historical Summary Cube'!$A$5,"[Accounting Period].[Fisc Yr]","[Accounting Period].[Fisc Yr].&amp;[2017]","[Revenue].[Rev Src]","[Revenue].[Rev Src].&amp;[2206]","[Revenue].[Rev Src Nm]","[Revenue].[Rev Src Nm].&amp;[FED GRANTS FOR PUB HEALTH]"),0)</f>
        <v>0</v>
      </c>
      <c r="AB13" s="20">
        <f>-IFERROR(GETPIVOTDATA("[Measures].[Jrnl Posting Am]",'[1]Historical Summary Cube'!$A$5,"[Accounting Period].[Fisc Yr]","[Accounting Period].[Fisc Yr].&amp;[2018]","[Revenue].[Rev Src]","[Revenue].[Rev Src].&amp;[2206]","[Revenue].[Rev Src Nm]","[Revenue].[Rev Src Nm].&amp;[FED GRANTS FOR PUB HEALTH]"),0)</f>
        <v>4057.32</v>
      </c>
      <c r="AC13" s="20">
        <f>-IFERROR(GETPIVOTDATA("[Measures].[Jrnl Posting Am]",'[1]Historical Summary Cube'!$A$5,"[Accounting Period].[Fisc Yr]","[Accounting Period].[Fisc Yr].&amp;[2019]","[Revenue].[Rev Src]","[Revenue].[Rev Src].&amp;[2206]","[Revenue].[Rev Src Nm]","[Revenue].[Rev Src Nm].&amp;[FED GRANTS FOR PUB HEALTH]"),0)</f>
        <v>0</v>
      </c>
      <c r="AD13" s="20">
        <f>-IFERROR(GETPIVOTDATA("[Measures].[Jrnl Posting Am]",'[1]Historical Summary Cube'!$A$5,"[Accounting Period].[Fisc Yr]","[Accounting Period].[Fisc Yr].&amp;[2020]","[Revenue].[Rev Src]","[Revenue].[Rev Src].&amp;[2206]","[Revenue].[Rev Src Nm]","[Revenue].[Rev Src Nm].&amp;[FED GRANTS FOR PUB HEALTH]"),0)</f>
        <v>0</v>
      </c>
      <c r="AE13" s="20">
        <f>-IFERROR(GETPIVOTDATA("[Measures].[Jrnl Posting Am]",'[1]Historical Summary Cube'!$A$5,"[Accounting Period].[Fisc Yr]","[Accounting Period].[Fisc Yr].&amp;[2021]","[Revenue].[Rev Src]","[Revenue].[Rev Src].&amp;[2206]","[Revenue].[Rev Src Nm]","[Revenue].[Rev Src Nm].&amp;[FED GRANTS FOR PUB HEALTH]"),0)</f>
        <v>0</v>
      </c>
      <c r="AF13" s="20">
        <f>-IFERROR(GETPIVOTDATA("[Measures].[Jrnl Posting Am]",'[1]Historical Summary Cube'!$A$5,"[Accounting Period].[Fisc Yr]","[Accounting Period].[Fisc Yr].&amp;[2022]","[Revenue].[Rev Src]","[Revenue].[Rev Src].&amp;[2206]","[Revenue].[Rev Src Nm]","[Revenue].[Rev Src Nm].&amp;[FED GRANTS FOR PUB HEALTH]"),0)</f>
        <v>0</v>
      </c>
      <c r="AG13" s="20">
        <f>-IFERROR(GETPIVOTDATA("[Measures].[Jrnl Posting Am]",'[1]Historical Summary Cube'!$A$5,"[Accounting Period].[Fisc Yr]","[Accounting Period].[Fisc Yr].&amp;[2023]","[Revenue].[Rev Src]","[Revenue].[Rev Src].&amp;[2206]","[Revenue].[Rev Src Nm]","[Revenue].[Rev Src Nm].&amp;[FED GRANTS FOR PUB HEALTH]"),0)</f>
        <v>0</v>
      </c>
      <c r="AH13" s="20">
        <f>-IFERROR(GETPIVOTDATA("[Measures].[Jrnl Posting Am]",'[1]Historical Summary Cube'!$A$5,"[Accounting Period].[Fisc Yr]","[Accounting Period].[Fisc Yr].&amp;[2024]","[Revenue].[Rev Src]","[Revenue].[Rev Src].&amp;[2206]","[Revenue].[Rev Src Nm]","[Revenue].[Rev Src Nm].&amp;[FED GRANTS FOR PUB HEALTH]"),0)</f>
        <v>0</v>
      </c>
      <c r="AI13" s="11"/>
      <c r="AJ13" s="11"/>
    </row>
    <row r="14" spans="1:43" s="10" customFormat="1" ht="15.5" x14ac:dyDescent="0.35">
      <c r="A14" s="25">
        <v>2631</v>
      </c>
      <c r="B14" s="10" t="s">
        <v>14</v>
      </c>
      <c r="C14" s="20">
        <v>0</v>
      </c>
      <c r="D14" s="20">
        <v>0</v>
      </c>
      <c r="E14" s="20">
        <v>0</v>
      </c>
      <c r="F14" s="20">
        <v>0</v>
      </c>
      <c r="G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Period].&amp;[5]"),0)</f>
        <v>0</v>
      </c>
      <c r="H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Period].&amp;[6]"),0)</f>
        <v>0</v>
      </c>
      <c r="I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Period].&amp;[7]"),0)</f>
        <v>0</v>
      </c>
      <c r="J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Period].&amp;[8]"),0)</f>
        <v>0</v>
      </c>
      <c r="K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Period].&amp;[9]"),0)</f>
        <v>0</v>
      </c>
      <c r="L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Period].&amp;[10]"),0)</f>
        <v>0</v>
      </c>
      <c r="M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Period].&amp;[11]"),0)</f>
        <v>0</v>
      </c>
      <c r="N14" s="20">
        <f>-IFERROR(GETPIVOTDATA("[Measures].[Jrnl Posting Am]",'[1]Historical Summary Cube'!$A$75,"[Revenue].[Rev Src]","[Revenue].[Rev Src].&amp;[2631]","[Revenue].[Rev Src Nm]","[Revenue].[Rev Src Nm].&amp;[REGISTRATION FEES]","[Accounting Period].[Fisc Period]","[Accounting Period].[Fisc Period].&amp;[12]"),0)</f>
        <v>0</v>
      </c>
      <c r="O14" s="11">
        <f t="shared" si="2"/>
        <v>0</v>
      </c>
      <c r="P14" s="12"/>
      <c r="Q14" s="12"/>
      <c r="R14" s="20">
        <f>-IFERROR(GETPIVOTDATA("[Measures].[Jrnl Posting Am]",'[1]Historical Summary Cube'!$A$5,"[Accounting Period].[Fisc Yr]","[Accounting Period].[Fisc Yr].&amp;[2008]","[Revenue].[Rev Src]","[Revenue].[Rev Src].&amp;[2631]","[Revenue].[Rev Src Nm]","[Revenue].[Rev Src Nm].&amp;[REGISTRATION FEES]"),0)</f>
        <v>340</v>
      </c>
      <c r="S14" s="20">
        <f>-IFERROR(GETPIVOTDATA("[Measures].[Jrnl Posting Am]",'[1]Historical Summary Cube'!$A$5,"[Accounting Period].[Fisc Yr]","[Accounting Period].[Fisc Yr].&amp;[2009]","[Revenue].[Rev Src]","[Revenue].[Rev Src].&amp;[2631]","[Revenue].[Rev Src Nm]","[Revenue].[Rev Src Nm].&amp;[REGISTRATION FEES]"),0)</f>
        <v>360</v>
      </c>
      <c r="T14" s="20">
        <f>-IFERROR(GETPIVOTDATA("[Measures].[Jrnl Posting Am]",'[1]Historical Summary Cube'!$A$5,"[Accounting Period].[Fisc Yr]","[Accounting Period].[Fisc Yr].&amp;[2010]","[Revenue].[Rev Src]","[Revenue].[Rev Src].&amp;[2631]","[Revenue].[Rev Src Nm]","[Revenue].[Rev Src Nm].&amp;[REGISTRATION FEES]"),0)</f>
        <v>360</v>
      </c>
      <c r="U14" s="20">
        <f>-IFERROR(GETPIVOTDATA("[Measures].[Jrnl Posting Am]",'[1]Historical Summary Cube'!$A$5,"[Accounting Period].[Fisc Yr]","[Accounting Period].[Fisc Yr].&amp;[2011]","[Revenue].[Rev Src]","[Revenue].[Rev Src].&amp;[2631]","[Revenue].[Rev Src Nm]","[Revenue].[Rev Src Nm].&amp;[REGISTRATION FEES]"),0)</f>
        <v>300</v>
      </c>
      <c r="V14" s="20">
        <f>-IFERROR(GETPIVOTDATA("[Measures].[Jrnl Posting Am]",'[1]Historical Summary Cube'!$A$5,"[Accounting Period].[Fisc Yr]","[Accounting Period].[Fisc Yr].&amp;[2012]","[Revenue].[Rev Src]","[Revenue].[Rev Src].&amp;[2631]","[Revenue].[Rev Src Nm]","[Revenue].[Rev Src Nm].&amp;[REGISTRATION FEES]"),0)</f>
        <v>360</v>
      </c>
      <c r="W14" s="20">
        <f>-IFERROR(GETPIVOTDATA("[Measures].[Jrnl Posting Am]",'[1]Historical Summary Cube'!$A$5,"[Accounting Period].[Fisc Yr]","[Accounting Period].[Fisc Yr].&amp;[2013]","[Revenue].[Rev Src]","[Revenue].[Rev Src].&amp;[2631]","[Revenue].[Rev Src Nm]","[Revenue].[Rev Src Nm].&amp;[REGISTRATION FEES]"),0)</f>
        <v>400</v>
      </c>
      <c r="X14" s="20">
        <f>-IFERROR(GETPIVOTDATA("[Measures].[Jrnl Posting Am]",'[1]Historical Summary Cube'!$A$5,"[Accounting Period].[Fisc Yr]","[Accounting Period].[Fisc Yr].&amp;[2014]","[Revenue].[Rev Src]","[Revenue].[Rev Src].&amp;[2631]","[Revenue].[Rev Src Nm]","[Revenue].[Rev Src Nm].&amp;[REGISTRATION FEES]"),0)</f>
        <v>380</v>
      </c>
      <c r="Y14" s="20">
        <f>-IFERROR(GETPIVOTDATA("[Measures].[Jrnl Posting Am]",'[1]Historical Summary Cube'!$A$5,"[Accounting Period].[Fisc Yr]","[Accounting Period].[Fisc Yr].&amp;[2015]","[Revenue].[Rev Src]","[Revenue].[Rev Src].&amp;[2631]","[Revenue].[Rev Src Nm]","[Revenue].[Rev Src Nm].&amp;[REGISTRATION FEES]"),0)</f>
        <v>460</v>
      </c>
      <c r="Z14" s="20">
        <f>-IFERROR(GETPIVOTDATA("[Measures].[Jrnl Posting Am]",'[1]Historical Summary Cube'!$A$5,"[Accounting Period].[Fisc Yr]","[Accounting Period].[Fisc Yr].&amp;[2016]","[Revenue].[Rev Src]","[Revenue].[Rev Src].&amp;[2631]","[Revenue].[Rev Src Nm]","[Revenue].[Rev Src Nm].&amp;[REGISTRATION FEES]"),0)</f>
        <v>540</v>
      </c>
      <c r="AA14" s="20">
        <f>-IFERROR(GETPIVOTDATA("[Measures].[Jrnl Posting Am]",'[1]Historical Summary Cube'!$A$5,"[Accounting Period].[Fisc Yr]","[Accounting Period].[Fisc Yr].&amp;[2017]","[Revenue].[Rev Src]","[Revenue].[Rev Src].&amp;[2631]","[Revenue].[Rev Src Nm]","[Revenue].[Rev Src Nm].&amp;[REGISTRATION FEES]"),0)</f>
        <v>580</v>
      </c>
      <c r="AB14" s="20">
        <f>-IFERROR(GETPIVOTDATA("[Measures].[Jrnl Posting Am]",'[1]Historical Summary Cube'!$A$5,"[Accounting Period].[Fisc Yr]","[Accounting Period].[Fisc Yr].&amp;[2018]","[Revenue].[Rev Src]","[Revenue].[Rev Src].&amp;[2631]","[Revenue].[Rev Src Nm]","[Revenue].[Rev Src Nm].&amp;[REGISTRATION FEES]"),0)</f>
        <v>963.3</v>
      </c>
      <c r="AC14" s="20">
        <f>-IFERROR(GETPIVOTDATA("[Measures].[Jrnl Posting Am]",'[1]Historical Summary Cube'!$A$5,"[Accounting Period].[Fisc Yr]","[Accounting Period].[Fisc Yr].&amp;[2019]","[Revenue].[Rev Src]","[Revenue].[Rev Src].&amp;[2631]","[Revenue].[Rev Src Nm]","[Revenue].[Rev Src Nm].&amp;[REGISTRATION FEES]"),0)</f>
        <v>560</v>
      </c>
      <c r="AD14" s="20">
        <f>-IFERROR(GETPIVOTDATA("[Measures].[Jrnl Posting Am]",'[1]Historical Summary Cube'!$A$5,"[Accounting Period].[Fisc Yr]","[Accounting Period].[Fisc Yr].&amp;[2020]","[Revenue].[Rev Src]","[Revenue].[Rev Src].&amp;[2631]","[Revenue].[Rev Src Nm]","[Revenue].[Rev Src Nm].&amp;[REGISTRATION FEES]"),0)</f>
        <v>3291</v>
      </c>
      <c r="AE14" s="20">
        <f>-IFERROR(GETPIVOTDATA("[Measures].[Jrnl Posting Am]",'[1]Historical Summary Cube'!$A$5,"[Accounting Period].[Fisc Yr]","[Accounting Period].[Fisc Yr].&amp;[2021]","[Revenue].[Rev Src]","[Revenue].[Rev Src].&amp;[2631]","[Revenue].[Rev Src Nm]","[Revenue].[Rev Src Nm].&amp;[REGISTRATION FEES]"),0)</f>
        <v>0</v>
      </c>
      <c r="AF14" s="20">
        <f>-IFERROR(GETPIVOTDATA("[Measures].[Jrnl Posting Am]",'[1]Historical Summary Cube'!$A$5,"[Accounting Period].[Fisc Yr]","[Accounting Period].[Fisc Yr].&amp;[2022]","[Revenue].[Rev Src]","[Revenue].[Rev Src].&amp;[2631]","[Revenue].[Rev Src Nm]","[Revenue].[Rev Src Nm].&amp;[REGISTRATION FEES]"),0)</f>
        <v>0</v>
      </c>
      <c r="AG14" s="20">
        <f>-IFERROR(GETPIVOTDATA("[Measures].[Jrnl Posting Am]",'[1]Historical Summary Cube'!$A$5,"[Accounting Period].[Fisc Yr]","[Accounting Period].[Fisc Yr].&amp;[2023]","[Revenue].[Rev Src]","[Revenue].[Rev Src].&amp;[2631]","[Revenue].[Rev Src Nm]","[Revenue].[Rev Src Nm].&amp;[REGISTRATION FEES]"),0)</f>
        <v>0</v>
      </c>
      <c r="AH14" s="20">
        <f>-IFERROR(GETPIVOTDATA("[Measures].[Jrnl Posting Am]",'[1]Historical Summary Cube'!$A$5,"[Accounting Period].[Fisc Yr]","[Accounting Period].[Fisc Yr].&amp;[2024]","[Revenue].[Rev Src]","[Revenue].[Rev Src].&amp;[2631]","[Revenue].[Rev Src Nm]","[Revenue].[Rev Src Nm].&amp;[REGISTRATION FEES]"),0)</f>
        <v>0</v>
      </c>
      <c r="AI14" s="11"/>
      <c r="AJ14" s="11"/>
    </row>
    <row r="15" spans="1:43" s="10" customFormat="1" ht="15.5" x14ac:dyDescent="0.35">
      <c r="A15" s="25" t="s">
        <v>15</v>
      </c>
      <c r="B15" s="10" t="s">
        <v>16</v>
      </c>
      <c r="C15" s="20">
        <v>0</v>
      </c>
      <c r="D15" s="20">
        <v>0</v>
      </c>
      <c r="E15" s="20">
        <v>0</v>
      </c>
      <c r="F15" s="20">
        <v>0</v>
      </c>
      <c r="G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Period].&amp;[5]"),0)</f>
        <v>0</v>
      </c>
      <c r="H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Period].&amp;[6]"),0)</f>
        <v>0</v>
      </c>
      <c r="I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Period].&amp;[7]"),0)</f>
        <v>0</v>
      </c>
      <c r="J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Period].&amp;[8]"),0)</f>
        <v>0</v>
      </c>
      <c r="K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Period].&amp;[9]"),0)</f>
        <v>0</v>
      </c>
      <c r="L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Period].&amp;[10]"),0)</f>
        <v>0</v>
      </c>
      <c r="M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Period].&amp;[11]"),0)</f>
        <v>0</v>
      </c>
      <c r="N15" s="20">
        <f>-IFERROR(GETPIVOTDATA("[Measures].[Jrnl Posting Am]",'[1]Historical Summary Cube'!$A$75,"[Revenue].[Rev Src]","[Revenue].[Rev Src].&amp;[2637]","[Revenue].[Rev Src Nm]","[Revenue].[Rev Src Nm].&amp;[MISC SERVICES &amp; FEES]","[Accounting Period].[Fisc Period]","[Accounting Period].[Fisc Period].&amp;[12]"),0)</f>
        <v>0</v>
      </c>
      <c r="O15" s="11">
        <f t="shared" si="2"/>
        <v>0</v>
      </c>
      <c r="P15" s="12"/>
      <c r="Q15" s="12"/>
      <c r="R15" s="20">
        <f>-IFERROR(GETPIVOTDATA("[Measures].[Jrnl Posting Am]",'[1]Historical Summary Cube'!$A$5,"[Accounting Period].[Fisc Yr]","[Accounting Period].[Fisc Yr].&amp;[2008]","[Revenue].[Rev Src]","[Revenue].[Rev Src].&amp;[2637]","[Revenue].[Rev Src Nm]","[Revenue].[Rev Src Nm].&amp;[MISC SERVICES &amp; FEES]"),0)</f>
        <v>3000</v>
      </c>
      <c r="S15" s="20">
        <f>-IFERROR(GETPIVOTDATA("[Measures].[Jrnl Posting Am]",'[1]Historical Summary Cube'!$A$5,"[Accounting Period].[Fisc Yr]","[Accounting Period].[Fisc Yr].&amp;[2009]","[Revenue].[Rev Src]","[Revenue].[Rev Src].&amp;[2637]","[Revenue].[Rev Src Nm]","[Revenue].[Rev Src Nm].&amp;[MISC SERVICES &amp; FEES]"),0)</f>
        <v>5638.2800000000007</v>
      </c>
      <c r="T15" s="20">
        <f>-IFERROR(GETPIVOTDATA("[Measures].[Jrnl Posting Am]",'[1]Historical Summary Cube'!$A$5,"[Accounting Period].[Fisc Yr]","[Accounting Period].[Fisc Yr].&amp;[2010]","[Revenue].[Rev Src]","[Revenue].[Rev Src].&amp;[2637]","[Revenue].[Rev Src Nm]","[Revenue].[Rev Src Nm].&amp;[MISC SERVICES &amp; FEES]"),0)</f>
        <v>12151.7</v>
      </c>
      <c r="U15" s="20">
        <f>-IFERROR(GETPIVOTDATA("[Measures].[Jrnl Posting Am]",'[1]Historical Summary Cube'!$A$5,"[Accounting Period].[Fisc Yr]","[Accounting Period].[Fisc Yr].&amp;[2011]","[Revenue].[Rev Src]","[Revenue].[Rev Src].&amp;[2637]","[Revenue].[Rev Src Nm]","[Revenue].[Rev Src Nm].&amp;[MISC SERVICES &amp; FEES]"),0)</f>
        <v>18047.87</v>
      </c>
      <c r="V15" s="20">
        <f>-IFERROR(GETPIVOTDATA("[Measures].[Jrnl Posting Am]",'[1]Historical Summary Cube'!$A$5,"[Accounting Period].[Fisc Yr]","[Accounting Period].[Fisc Yr].&amp;[2012]","[Revenue].[Rev Src]","[Revenue].[Rev Src].&amp;[2637]","[Revenue].[Rev Src Nm]","[Revenue].[Rev Src Nm].&amp;[MISC SERVICES &amp; FEES]"),0)</f>
        <v>39647.93</v>
      </c>
      <c r="W15" s="20">
        <f>-IFERROR(GETPIVOTDATA("[Measures].[Jrnl Posting Am]",'[1]Historical Summary Cube'!$A$5,"[Accounting Period].[Fisc Yr]","[Accounting Period].[Fisc Yr].&amp;[2013]","[Revenue].[Rev Src]","[Revenue].[Rev Src].&amp;[2637]","[Revenue].[Rev Src Nm]","[Revenue].[Rev Src Nm].&amp;[MISC SERVICES &amp; FEES]"),0)</f>
        <v>19308.63</v>
      </c>
      <c r="X15" s="20">
        <f>-IFERROR(GETPIVOTDATA("[Measures].[Jrnl Posting Am]",'[1]Historical Summary Cube'!$A$5,"[Accounting Period].[Fisc Yr]","[Accounting Period].[Fisc Yr].&amp;[2014]","[Revenue].[Rev Src]","[Revenue].[Rev Src].&amp;[2637]","[Revenue].[Rev Src Nm]","[Revenue].[Rev Src Nm].&amp;[MISC SERVICES &amp; FEES]"),0)</f>
        <v>663.43</v>
      </c>
      <c r="Y15" s="20">
        <f>-IFERROR(GETPIVOTDATA("[Measures].[Jrnl Posting Am]",'[1]Historical Summary Cube'!$A$5,"[Accounting Period].[Fisc Yr]","[Accounting Period].[Fisc Yr].&amp;[2015]","[Revenue].[Rev Src]","[Revenue].[Rev Src].&amp;[2637]","[Revenue].[Rev Src Nm]","[Revenue].[Rev Src Nm].&amp;[MISC SERVICES &amp; FEES]"),0)</f>
        <v>0</v>
      </c>
      <c r="Z15" s="20">
        <f>-IFERROR(GETPIVOTDATA("[Measures].[Jrnl Posting Am]",'[1]Historical Summary Cube'!$A$5,"[Accounting Period].[Fisc Yr]","[Accounting Period].[Fisc Yr].&amp;[2016]","[Revenue].[Rev Src]","[Revenue].[Rev Src].&amp;[2637]","[Revenue].[Rev Src Nm]","[Revenue].[Rev Src Nm].&amp;[MISC SERVICES &amp; FEES]"),0)</f>
        <v>875.15</v>
      </c>
      <c r="AA15" s="20">
        <f>-IFERROR(GETPIVOTDATA("[Measures].[Jrnl Posting Am]",'[1]Historical Summary Cube'!$A$5,"[Accounting Period].[Fisc Yr]","[Accounting Period].[Fisc Yr].&amp;[2017]","[Revenue].[Rev Src]","[Revenue].[Rev Src].&amp;[2637]","[Revenue].[Rev Src Nm]","[Revenue].[Rev Src Nm].&amp;[MISC SERVICES &amp; FEES]"),0)</f>
        <v>11750.029999999999</v>
      </c>
      <c r="AB15" s="20">
        <f>-IFERROR(GETPIVOTDATA("[Measures].[Jrnl Posting Am]",'[1]Historical Summary Cube'!$A$5,"[Accounting Period].[Fisc Yr]","[Accounting Period].[Fisc Yr].&amp;[2018]","[Revenue].[Rev Src]","[Revenue].[Rev Src].&amp;[2637]","[Revenue].[Rev Src Nm]","[Revenue].[Rev Src Nm].&amp;[MISC SERVICES &amp; FEES]"),0)</f>
        <v>13192.130000000001</v>
      </c>
      <c r="AC15" s="20">
        <f>-IFERROR(GETPIVOTDATA("[Measures].[Jrnl Posting Am]",'[1]Historical Summary Cube'!$A$5,"[Accounting Period].[Fisc Yr]","[Accounting Period].[Fisc Yr].&amp;[2019]","[Revenue].[Rev Src]","[Revenue].[Rev Src].&amp;[2637]","[Revenue].[Rev Src Nm]","[Revenue].[Rev Src Nm].&amp;[MISC SERVICES &amp; FEES]"),0)</f>
        <v>14167.689999999999</v>
      </c>
      <c r="AD15" s="20">
        <f>-IFERROR(GETPIVOTDATA("[Measures].[Jrnl Posting Am]",'[1]Historical Summary Cube'!$A$5,"[Accounting Period].[Fisc Yr]","[Accounting Period].[Fisc Yr].&amp;[2020]","[Revenue].[Rev Src]","[Revenue].[Rev Src].&amp;[2637]","[Revenue].[Rev Src Nm]","[Revenue].[Rev Src Nm].&amp;[MISC SERVICES &amp; FEES]"),0)</f>
        <v>0</v>
      </c>
      <c r="AE15" s="20">
        <f>-IFERROR(GETPIVOTDATA("[Measures].[Jrnl Posting Am]",'[1]Historical Summary Cube'!$A$5,"[Accounting Period].[Fisc Yr]","[Accounting Period].[Fisc Yr].&amp;[2021]","[Revenue].[Rev Src]","[Revenue].[Rev Src].&amp;[2637]","[Revenue].[Rev Src Nm]","[Revenue].[Rev Src Nm].&amp;[MISC SERVICES &amp; FEES]"),0)</f>
        <v>0</v>
      </c>
      <c r="AF15" s="20">
        <f>-IFERROR(GETPIVOTDATA("[Measures].[Jrnl Posting Am]",'[1]Historical Summary Cube'!$A$5,"[Accounting Period].[Fisc Yr]","[Accounting Period].[Fisc Yr].&amp;[2022]","[Revenue].[Rev Src]","[Revenue].[Rev Src].&amp;[2637]","[Revenue].[Rev Src Nm]","[Revenue].[Rev Src Nm].&amp;[MISC SERVICES &amp; FEES]"),0)</f>
        <v>0</v>
      </c>
      <c r="AG15" s="20">
        <f>-IFERROR(GETPIVOTDATA("[Measures].[Jrnl Posting Am]",'[1]Historical Summary Cube'!$A$5,"[Accounting Period].[Fisc Yr]","[Accounting Period].[Fisc Yr].&amp;[2023]","[Revenue].[Rev Src]","[Revenue].[Rev Src].&amp;[2637]","[Revenue].[Rev Src Nm]","[Revenue].[Rev Src Nm].&amp;[MISC SERVICES &amp; FEES]"),0)</f>
        <v>0</v>
      </c>
      <c r="AH15" s="20">
        <f>-IFERROR(GETPIVOTDATA("[Measures].[Jrnl Posting Am]",'[1]Historical Summary Cube'!$A$5,"[Accounting Period].[Fisc Yr]","[Accounting Period].[Fisc Yr].&amp;[2024]","[Revenue].[Rev Src]","[Revenue].[Rev Src].&amp;[2637]","[Revenue].[Rev Src Nm]","[Revenue].[Rev Src Nm].&amp;[MISC SERVICES &amp; FEES]"),0)</f>
        <v>0</v>
      </c>
      <c r="AI15" s="11"/>
      <c r="AJ15" s="11"/>
    </row>
    <row r="16" spans="1:43" s="10" customFormat="1" ht="15.5" x14ac:dyDescent="0.35">
      <c r="A16" s="25">
        <v>2651</v>
      </c>
      <c r="B16" s="10" t="s">
        <v>17</v>
      </c>
      <c r="C16" s="20">
        <v>0</v>
      </c>
      <c r="D16" s="20">
        <v>0</v>
      </c>
      <c r="E16" s="20">
        <v>0</v>
      </c>
      <c r="F16" s="20">
        <v>0</v>
      </c>
      <c r="G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Period].&amp;[5]"),0)</f>
        <v>0</v>
      </c>
      <c r="H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Period].&amp;[6]"),0)</f>
        <v>0</v>
      </c>
      <c r="I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Period].&amp;[7]"),0)</f>
        <v>0</v>
      </c>
      <c r="J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Period].&amp;[8]"),0)</f>
        <v>0</v>
      </c>
      <c r="K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Period].&amp;[9]"),0)</f>
        <v>0</v>
      </c>
      <c r="L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Period].&amp;[10]"),0)</f>
        <v>0</v>
      </c>
      <c r="M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Period].&amp;[11]"),0)</f>
        <v>0</v>
      </c>
      <c r="N16" s="20">
        <f>-IFERROR(GETPIVOTDATA("[Measures].[Jrnl Posting Am]",'[1]Historical Summary Cube'!$A$75,"[Revenue].[Rev Src]","[Revenue].[Rev Src].&amp;[2651]","[Revenue].[Rev Src Nm]","[Revenue].[Rev Src Nm].&amp;[SALE LABELS CARTONS]","[Accounting Period].[Fisc Period]","[Accounting Period].[Fisc Period].&amp;[12]"),0)</f>
        <v>0</v>
      </c>
      <c r="O16" s="11">
        <f t="shared" si="2"/>
        <v>0</v>
      </c>
      <c r="P16" s="12"/>
      <c r="Q16" s="12"/>
      <c r="R16" s="20">
        <f>-IFERROR(GETPIVOTDATA("[Measures].[Jrnl Posting Am]",'[1]Historical Summary Cube'!$A$5,"[Accounting Period].[Fisc Yr]","[Accounting Period].[Fisc Yr].&amp;[2008]","[Revenue].[Rev Src]","[Revenue].[Rev Src].&amp;[2651]","[Revenue].[Rev Src Nm]","[Revenue].[Rev Src Nm].&amp;[SALE LABELS CARTONS]"),0)</f>
        <v>746.4</v>
      </c>
      <c r="S16" s="20">
        <f>-IFERROR(GETPIVOTDATA("[Measures].[Jrnl Posting Am]",'[1]Historical Summary Cube'!$A$5,"[Accounting Period].[Fisc Yr]","[Accounting Period].[Fisc Yr].&amp;[2009]","[Revenue].[Rev Src]","[Revenue].[Rev Src].&amp;[2651]","[Revenue].[Rev Src Nm]","[Revenue].[Rev Src Nm].&amp;[SALE LABELS CARTONS]"),0)</f>
        <v>588.16000000000008</v>
      </c>
      <c r="T16" s="20">
        <f>-IFERROR(GETPIVOTDATA("[Measures].[Jrnl Posting Am]",'[1]Historical Summary Cube'!$A$5,"[Accounting Period].[Fisc Yr]","[Accounting Period].[Fisc Yr].&amp;[2010]","[Revenue].[Rev Src]","[Revenue].[Rev Src].&amp;[2651]","[Revenue].[Rev Src Nm]","[Revenue].[Rev Src Nm].&amp;[SALE LABELS CARTONS]"),0)</f>
        <v>1379.56</v>
      </c>
      <c r="U16" s="20">
        <f>-IFERROR(GETPIVOTDATA("[Measures].[Jrnl Posting Am]",'[1]Historical Summary Cube'!$A$5,"[Accounting Period].[Fisc Yr]","[Accounting Period].[Fisc Yr].&amp;[2011]","[Revenue].[Rev Src]","[Revenue].[Rev Src].&amp;[2651]","[Revenue].[Rev Src Nm]","[Revenue].[Rev Src Nm].&amp;[SALE LABELS CARTONS]"),0)</f>
        <v>1976.44</v>
      </c>
      <c r="V16" s="20">
        <f>-IFERROR(GETPIVOTDATA("[Measures].[Jrnl Posting Am]",'[1]Historical Summary Cube'!$A$5,"[Accounting Period].[Fisc Yr]","[Accounting Period].[Fisc Yr].&amp;[2012]","[Revenue].[Rev Src]","[Revenue].[Rev Src].&amp;[2651]","[Revenue].[Rev Src Nm]","[Revenue].[Rev Src Nm].&amp;[SALE LABELS CARTONS]"),0)</f>
        <v>1190.2</v>
      </c>
      <c r="W16" s="20">
        <f>-IFERROR(GETPIVOTDATA("[Measures].[Jrnl Posting Am]",'[1]Historical Summary Cube'!$A$5,"[Accounting Period].[Fisc Yr]","[Accounting Period].[Fisc Yr].&amp;[2013]","[Revenue].[Rev Src]","[Revenue].[Rev Src].&amp;[2651]","[Revenue].[Rev Src Nm]","[Revenue].[Rev Src Nm].&amp;[SALE LABELS CARTONS]"),0)</f>
        <v>297</v>
      </c>
      <c r="X16" s="20">
        <f>-IFERROR(GETPIVOTDATA("[Measures].[Jrnl Posting Am]",'[1]Historical Summary Cube'!$A$5,"[Accounting Period].[Fisc Yr]","[Accounting Period].[Fisc Yr].&amp;[2014]","[Revenue].[Rev Src]","[Revenue].[Rev Src].&amp;[2651]","[Revenue].[Rev Src Nm]","[Revenue].[Rev Src Nm].&amp;[SALE LABELS CARTONS]"),0)</f>
        <v>0</v>
      </c>
      <c r="Y16" s="20">
        <f>-IFERROR(GETPIVOTDATA("[Measures].[Jrnl Posting Am]",'[1]Historical Summary Cube'!$A$5,"[Accounting Period].[Fisc Yr]","[Accounting Period].[Fisc Yr].&amp;[2015]","[Revenue].[Rev Src]","[Revenue].[Rev Src].&amp;[2651]","[Revenue].[Rev Src Nm]","[Revenue].[Rev Src Nm].&amp;[SALE LABELS CARTONS]"),0)</f>
        <v>0</v>
      </c>
      <c r="Z16" s="20">
        <f>-IFERROR(GETPIVOTDATA("[Measures].[Jrnl Posting Am]",'[1]Historical Summary Cube'!$A$5,"[Accounting Period].[Fisc Yr]","[Accounting Period].[Fisc Yr].&amp;[2016]","[Revenue].[Rev Src]","[Revenue].[Rev Src].&amp;[2651]","[Revenue].[Rev Src Nm]","[Revenue].[Rev Src Nm].&amp;[SALE LABELS CARTONS]"),0)</f>
        <v>0</v>
      </c>
      <c r="AA16" s="20">
        <f>-IFERROR(GETPIVOTDATA("[Measures].[Jrnl Posting Am]",'[1]Historical Summary Cube'!$A$5,"[Accounting Period].[Fisc Yr]","[Accounting Period].[Fisc Yr].&amp;[2017]","[Revenue].[Rev Src]","[Revenue].[Rev Src].&amp;[2651]","[Revenue].[Rev Src Nm]","[Revenue].[Rev Src Nm].&amp;[SALE LABELS CARTONS]"),0)</f>
        <v>0</v>
      </c>
      <c r="AB16" s="20">
        <f>-IFERROR(GETPIVOTDATA("[Measures].[Jrnl Posting Am]",'[1]Historical Summary Cube'!$A$5,"[Accounting Period].[Fisc Yr]","[Accounting Period].[Fisc Yr].&amp;[2018]","[Revenue].[Rev Src]","[Revenue].[Rev Src].&amp;[2651]","[Revenue].[Rev Src Nm]","[Revenue].[Rev Src Nm].&amp;[SALE LABELS CARTONS]"),0)</f>
        <v>0</v>
      </c>
      <c r="AC16" s="20">
        <f>-IFERROR(GETPIVOTDATA("[Measures].[Jrnl Posting Am]",'[1]Historical Summary Cube'!$A$5,"[Accounting Period].[Fisc Yr]","[Accounting Period].[Fisc Yr].&amp;[2019]","[Revenue].[Rev Src]","[Revenue].[Rev Src].&amp;[2651]","[Revenue].[Rev Src Nm]","[Revenue].[Rev Src Nm].&amp;[SALE LABELS CARTONS]"),0)</f>
        <v>0</v>
      </c>
      <c r="AD16" s="20">
        <f>-IFERROR(GETPIVOTDATA("[Measures].[Jrnl Posting Am]",'[1]Historical Summary Cube'!$A$5,"[Accounting Period].[Fisc Yr]","[Accounting Period].[Fisc Yr].&amp;[2020]","[Revenue].[Rev Src]","[Revenue].[Rev Src].&amp;[2651]","[Revenue].[Rev Src Nm]","[Revenue].[Rev Src Nm].&amp;[SALE LABELS CARTONS]"),0)</f>
        <v>0</v>
      </c>
      <c r="AE16" s="20">
        <f>-IFERROR(GETPIVOTDATA("[Measures].[Jrnl Posting Am]",'[1]Historical Summary Cube'!$A$5,"[Accounting Period].[Fisc Yr]","[Accounting Period].[Fisc Yr].&amp;[2021]","[Revenue].[Rev Src]","[Revenue].[Rev Src].&amp;[2651]","[Revenue].[Rev Src Nm]","[Revenue].[Rev Src Nm].&amp;[SALE LABELS CARTONS]"),0)</f>
        <v>0</v>
      </c>
      <c r="AF16" s="20">
        <f>-IFERROR(GETPIVOTDATA("[Measures].[Jrnl Posting Am]",'[1]Historical Summary Cube'!$A$5,"[Accounting Period].[Fisc Yr]","[Accounting Period].[Fisc Yr].&amp;[2022]","[Revenue].[Rev Src]","[Revenue].[Rev Src].&amp;[2651]","[Revenue].[Rev Src Nm]","[Revenue].[Rev Src Nm].&amp;[SALE LABELS CARTONS]"),0)</f>
        <v>0</v>
      </c>
      <c r="AG16" s="20">
        <f>-IFERROR(GETPIVOTDATA("[Measures].[Jrnl Posting Am]",'[1]Historical Summary Cube'!$A$5,"[Accounting Period].[Fisc Yr]","[Accounting Period].[Fisc Yr].&amp;[2023]","[Revenue].[Rev Src]","[Revenue].[Rev Src].&amp;[2651]","[Revenue].[Rev Src Nm]","[Revenue].[Rev Src Nm].&amp;[SALE LABELS CARTONS]"),0)</f>
        <v>0</v>
      </c>
      <c r="AH16" s="20">
        <f>-IFERROR(GETPIVOTDATA("[Measures].[Jrnl Posting Am]",'[1]Historical Summary Cube'!$A$5,"[Accounting Period].[Fisc Yr]","[Accounting Period].[Fisc Yr].&amp;[2024]","[Revenue].[Rev Src]","[Revenue].[Rev Src].&amp;[2651]","[Revenue].[Rev Src Nm]","[Revenue].[Rev Src Nm].&amp;[SALE LABELS CARTONS]"),0)</f>
        <v>0</v>
      </c>
      <c r="AI16" s="11"/>
      <c r="AJ16" s="11"/>
    </row>
    <row r="17" spans="1:36" s="10" customFormat="1" ht="15.5" x14ac:dyDescent="0.35">
      <c r="A17" s="25">
        <v>2669</v>
      </c>
      <c r="B17" s="10" t="s">
        <v>18</v>
      </c>
      <c r="C17" s="20">
        <v>0</v>
      </c>
      <c r="D17" s="20">
        <v>0</v>
      </c>
      <c r="E17" s="20">
        <v>0</v>
      </c>
      <c r="F17" s="20">
        <v>0</v>
      </c>
      <c r="G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Period].&amp;[5]"),0)</f>
        <v>0</v>
      </c>
      <c r="H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Period].&amp;[6]"),0)</f>
        <v>0</v>
      </c>
      <c r="I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Period].&amp;[7]"),0)</f>
        <v>0</v>
      </c>
      <c r="J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Period].&amp;[8]"),0)</f>
        <v>0</v>
      </c>
      <c r="K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Period].&amp;[9]"),0)</f>
        <v>0</v>
      </c>
      <c r="L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Period].&amp;[10]"),0)</f>
        <v>0</v>
      </c>
      <c r="M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Period].&amp;[11]"),0)</f>
        <v>0</v>
      </c>
      <c r="N17" s="20">
        <f>-IFERROR(GETPIVOTDATA("[Measures].[Jrnl Posting Am]",'[1]Historical Summary Cube'!$A$75,"[Revenue].[Rev Src]","[Revenue].[Rev Src].&amp;[2669]","[Revenue].[Rev Src Nm]","[Revenue].[Rev Src Nm].&amp;[SALE MAILING LISTS]","[Accounting Period].[Fisc Period]","[Accounting Period].[Fisc Period].&amp;[12]"),0)</f>
        <v>0</v>
      </c>
      <c r="O17" s="11">
        <f t="shared" si="2"/>
        <v>0</v>
      </c>
      <c r="P17" s="12"/>
      <c r="Q17" s="12"/>
      <c r="R17" s="20">
        <f>-IFERROR(GETPIVOTDATA("[Measures].[Jrnl Posting Am]",'[1]Historical Summary Cube'!$A$5,"[Accounting Period].[Fisc Yr]","[Accounting Period].[Fisc Yr].&amp;[2008]","[Revenue].[Rev Src]","[Revenue].[Rev Src].&amp;[2669]","[Revenue].[Rev Src Nm]","[Revenue].[Rev Src Nm].&amp;[SALE MAILING LISTS]"),0)</f>
        <v>110</v>
      </c>
      <c r="S17" s="20">
        <f>-IFERROR(GETPIVOTDATA("[Measures].[Jrnl Posting Am]",'[1]Historical Summary Cube'!$A$5,"[Accounting Period].[Fisc Yr]","[Accounting Period].[Fisc Yr].&amp;[2009]","[Revenue].[Rev Src]","[Revenue].[Rev Src].&amp;[2669]","[Revenue].[Rev Src Nm]","[Revenue].[Rev Src Nm].&amp;[SALE MAILING LISTS]"),0)</f>
        <v>32</v>
      </c>
      <c r="T17" s="20">
        <f>-IFERROR(GETPIVOTDATA("[Measures].[Jrnl Posting Am]",'[1]Historical Summary Cube'!$A$5,"[Accounting Period].[Fisc Yr]","[Accounting Period].[Fisc Yr].&amp;[2010]","[Revenue].[Rev Src]","[Revenue].[Rev Src].&amp;[2669]","[Revenue].[Rev Src Nm]","[Revenue].[Rev Src Nm].&amp;[SALE MAILING LISTS]"),0)</f>
        <v>60</v>
      </c>
      <c r="U17" s="20">
        <f>-IFERROR(GETPIVOTDATA("[Measures].[Jrnl Posting Am]",'[1]Historical Summary Cube'!$A$5,"[Accounting Period].[Fisc Yr]","[Accounting Period].[Fisc Yr].&amp;[2011]","[Revenue].[Rev Src]","[Revenue].[Rev Src].&amp;[2669]","[Revenue].[Rev Src Nm]","[Revenue].[Rev Src Nm].&amp;[SALE MAILING LISTS]"),0)</f>
        <v>200</v>
      </c>
      <c r="V17" s="20">
        <f>-IFERROR(GETPIVOTDATA("[Measures].[Jrnl Posting Am]",'[1]Historical Summary Cube'!$A$5,"[Accounting Period].[Fisc Yr]","[Accounting Period].[Fisc Yr].&amp;[2012]","[Revenue].[Rev Src]","[Revenue].[Rev Src].&amp;[2669]","[Revenue].[Rev Src Nm]","[Revenue].[Rev Src Nm].&amp;[SALE MAILING LISTS]"),0)</f>
        <v>0</v>
      </c>
      <c r="W17" s="20">
        <f>-IFERROR(GETPIVOTDATA("[Measures].[Jrnl Posting Am]",'[1]Historical Summary Cube'!$A$5,"[Accounting Period].[Fisc Yr]","[Accounting Period].[Fisc Yr].&amp;[2013]","[Revenue].[Rev Src]","[Revenue].[Rev Src].&amp;[2669]","[Revenue].[Rev Src Nm]","[Revenue].[Rev Src Nm].&amp;[SALE MAILING LISTS]"),0)</f>
        <v>0</v>
      </c>
      <c r="X17" s="20">
        <f>-IFERROR(GETPIVOTDATA("[Measures].[Jrnl Posting Am]",'[1]Historical Summary Cube'!$A$5,"[Accounting Period].[Fisc Yr]","[Accounting Period].[Fisc Yr].&amp;[2014]","[Revenue].[Rev Src]","[Revenue].[Rev Src].&amp;[2669]","[Revenue].[Rev Src Nm]","[Revenue].[Rev Src Nm].&amp;[SALE MAILING LISTS]"),0)</f>
        <v>50</v>
      </c>
      <c r="Y17" s="20">
        <f>-IFERROR(GETPIVOTDATA("[Measures].[Jrnl Posting Am]",'[1]Historical Summary Cube'!$A$5,"[Accounting Period].[Fisc Yr]","[Accounting Period].[Fisc Yr].&amp;[2015]","[Revenue].[Rev Src]","[Revenue].[Rev Src].&amp;[2669]","[Revenue].[Rev Src Nm]","[Revenue].[Rev Src Nm].&amp;[SALE MAILING LISTS]"),0)</f>
        <v>0</v>
      </c>
      <c r="Z17" s="20">
        <f>-IFERROR(GETPIVOTDATA("[Measures].[Jrnl Posting Am]",'[1]Historical Summary Cube'!$A$5,"[Accounting Period].[Fisc Yr]","[Accounting Period].[Fisc Yr].&amp;[2016]","[Revenue].[Rev Src]","[Revenue].[Rev Src].&amp;[2669]","[Revenue].[Rev Src Nm]","[Revenue].[Rev Src Nm].&amp;[SALE MAILING LISTS]"),0)</f>
        <v>0</v>
      </c>
      <c r="AA17" s="20">
        <f>-IFERROR(GETPIVOTDATA("[Measures].[Jrnl Posting Am]",'[1]Historical Summary Cube'!$A$5,"[Accounting Period].[Fisc Yr]","[Accounting Period].[Fisc Yr].&amp;[2017]","[Revenue].[Rev Src]","[Revenue].[Rev Src].&amp;[2669]","[Revenue].[Rev Src Nm]","[Revenue].[Rev Src Nm].&amp;[SALE MAILING LISTS]"),0)</f>
        <v>0</v>
      </c>
      <c r="AB17" s="20">
        <f>-IFERROR(GETPIVOTDATA("[Measures].[Jrnl Posting Am]",'[1]Historical Summary Cube'!$A$5,"[Accounting Period].[Fisc Yr]","[Accounting Period].[Fisc Yr].&amp;[2018]","[Revenue].[Rev Src]","[Revenue].[Rev Src].&amp;[2669]","[Revenue].[Rev Src Nm]","[Revenue].[Rev Src Nm].&amp;[SALE MAILING LISTS]"),0)</f>
        <v>0</v>
      </c>
      <c r="AC17" s="20">
        <f>-IFERROR(GETPIVOTDATA("[Measures].[Jrnl Posting Am]",'[1]Historical Summary Cube'!$A$5,"[Accounting Period].[Fisc Yr]","[Accounting Period].[Fisc Yr].&amp;[2019]","[Revenue].[Rev Src]","[Revenue].[Rev Src].&amp;[2669]","[Revenue].[Rev Src Nm]","[Revenue].[Rev Src Nm].&amp;[SALE MAILING LISTS]"),0)</f>
        <v>0</v>
      </c>
      <c r="AD17" s="20">
        <f>-IFERROR(GETPIVOTDATA("[Measures].[Jrnl Posting Am]",'[1]Historical Summary Cube'!$A$5,"[Accounting Period].[Fisc Yr]","[Accounting Period].[Fisc Yr].&amp;[2020]","[Revenue].[Rev Src]","[Revenue].[Rev Src].&amp;[2669]","[Revenue].[Rev Src Nm]","[Revenue].[Rev Src Nm].&amp;[SALE MAILING LISTS]"),0)</f>
        <v>0</v>
      </c>
      <c r="AE17" s="20">
        <f>-IFERROR(GETPIVOTDATA("[Measures].[Jrnl Posting Am]",'[1]Historical Summary Cube'!$A$5,"[Accounting Period].[Fisc Yr]","[Accounting Period].[Fisc Yr].&amp;[2021]","[Revenue].[Rev Src]","[Revenue].[Rev Src].&amp;[2669]","[Revenue].[Rev Src Nm]","[Revenue].[Rev Src Nm].&amp;[SALE MAILING LISTS]"),0)</f>
        <v>0</v>
      </c>
      <c r="AF17" s="20">
        <f>-IFERROR(GETPIVOTDATA("[Measures].[Jrnl Posting Am]",'[1]Historical Summary Cube'!$A$5,"[Accounting Period].[Fisc Yr]","[Accounting Period].[Fisc Yr].&amp;[2022]","[Revenue].[Rev Src]","[Revenue].[Rev Src].&amp;[2669]","[Revenue].[Rev Src Nm]","[Revenue].[Rev Src Nm].&amp;[SALE MAILING LISTS]"),0)</f>
        <v>0</v>
      </c>
      <c r="AG17" s="20">
        <f>-IFERROR(GETPIVOTDATA("[Measures].[Jrnl Posting Am]",'[1]Historical Summary Cube'!$A$5,"[Accounting Period].[Fisc Yr]","[Accounting Period].[Fisc Yr].&amp;[2023]","[Revenue].[Rev Src]","[Revenue].[Rev Src].&amp;[2669]","[Revenue].[Rev Src Nm]","[Revenue].[Rev Src Nm].&amp;[SALE MAILING LISTS]"),0)</f>
        <v>0</v>
      </c>
      <c r="AH17" s="20">
        <f>-IFERROR(GETPIVOTDATA("[Measures].[Jrnl Posting Am]",'[1]Historical Summary Cube'!$A$5,"[Accounting Period].[Fisc Yr]","[Accounting Period].[Fisc Yr].&amp;[2024]","[Revenue].[Rev Src]","[Revenue].[Rev Src].&amp;[2669]","[Revenue].[Rev Src Nm]","[Revenue].[Rev Src Nm].&amp;[SALE MAILING LISTS]"),0)</f>
        <v>0</v>
      </c>
      <c r="AI17" s="11"/>
      <c r="AJ17" s="11"/>
    </row>
    <row r="18" spans="1:36" s="10" customFormat="1" ht="15.5" x14ac:dyDescent="0.35">
      <c r="A18" s="25" t="s">
        <v>19</v>
      </c>
      <c r="B18" s="10" t="s">
        <v>20</v>
      </c>
      <c r="C18" s="20">
        <v>0</v>
      </c>
      <c r="D18" s="20">
        <v>0</v>
      </c>
      <c r="E18" s="20">
        <v>0</v>
      </c>
      <c r="F18" s="20">
        <v>0</v>
      </c>
      <c r="G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Period].&amp;[5]"),0)</f>
        <v>0</v>
      </c>
      <c r="H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Period].&amp;[6]"),0)</f>
        <v>0</v>
      </c>
      <c r="I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Period].&amp;[7]"),0)</f>
        <v>0</v>
      </c>
      <c r="J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Period].&amp;[8]"),0)</f>
        <v>0</v>
      </c>
      <c r="K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Period].&amp;[9]"),0)</f>
        <v>0</v>
      </c>
      <c r="L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Period].&amp;[10]"),0)</f>
        <v>0</v>
      </c>
      <c r="M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Period].&amp;[11]"),0)</f>
        <v>0</v>
      </c>
      <c r="N18" s="20">
        <f>-IFERROR(GETPIVOTDATA("[Measures].[Jrnl Posting Am]",'[1]Historical Summary Cube'!$A$75,"[Revenue].[Rev Src]","[Revenue].[Rev Src].&amp;[2671]","[Revenue].[Rev Src Nm]","[Revenue].[Rev Src Nm].&amp;[SALE OF PROMOTIONAL ITEMS]","[Accounting Period].[Fisc Period]","[Accounting Period].[Fisc Period].&amp;[12]"),0)</f>
        <v>0</v>
      </c>
      <c r="O18" s="11">
        <f t="shared" si="2"/>
        <v>0</v>
      </c>
      <c r="P18" s="12"/>
      <c r="Q18" s="12"/>
      <c r="R18" s="20">
        <f>-IFERROR(GETPIVOTDATA("[Measures].[Jrnl Posting Am]",'[1]Historical Summary Cube'!$A$5,"[Accounting Period].[Fisc Yr]","[Accounting Period].[Fisc Yr].&amp;[2008]","[Revenue].[Rev Src]","[Revenue].[Rev Src].&amp;[2671]","[Revenue].[Rev Src Nm]","[Revenue].[Rev Src Nm].&amp;[SALE OF PROMOTIONAL ITEMS]"),0)</f>
        <v>493.05</v>
      </c>
      <c r="S18" s="20">
        <f>-IFERROR(GETPIVOTDATA("[Measures].[Jrnl Posting Am]",'[1]Historical Summary Cube'!$A$5,"[Accounting Period].[Fisc Yr]","[Accounting Period].[Fisc Yr].&amp;[2009]","[Revenue].[Rev Src]","[Revenue].[Rev Src].&amp;[2671]","[Revenue].[Rev Src Nm]","[Revenue].[Rev Src Nm].&amp;[SALE OF PROMOTIONAL ITEMS]"),0)</f>
        <v>3720</v>
      </c>
      <c r="T18" s="20">
        <f>-IFERROR(GETPIVOTDATA("[Measures].[Jrnl Posting Am]",'[1]Historical Summary Cube'!$A$5,"[Accounting Period].[Fisc Yr]","[Accounting Period].[Fisc Yr].&amp;[2010]","[Revenue].[Rev Src]","[Revenue].[Rev Src].&amp;[2671]","[Revenue].[Rev Src Nm]","[Revenue].[Rev Src Nm].&amp;[SALE OF PROMOTIONAL ITEMS]"),0)</f>
        <v>0</v>
      </c>
      <c r="U18" s="20">
        <f>-IFERROR(GETPIVOTDATA("[Measures].[Jrnl Posting Am]",'[1]Historical Summary Cube'!$A$5,"[Accounting Period].[Fisc Yr]","[Accounting Period].[Fisc Yr].&amp;[2011]","[Revenue].[Rev Src]","[Revenue].[Rev Src].&amp;[2671]","[Revenue].[Rev Src Nm]","[Revenue].[Rev Src Nm].&amp;[SALE OF PROMOTIONAL ITEMS]"),0)</f>
        <v>0</v>
      </c>
      <c r="V18" s="20">
        <f>-IFERROR(GETPIVOTDATA("[Measures].[Jrnl Posting Am]",'[1]Historical Summary Cube'!$A$5,"[Accounting Period].[Fisc Yr]","[Accounting Period].[Fisc Yr].&amp;[2012]","[Revenue].[Rev Src]","[Revenue].[Rev Src].&amp;[2671]","[Revenue].[Rev Src Nm]","[Revenue].[Rev Src Nm].&amp;[SALE OF PROMOTIONAL ITEMS]"),0)</f>
        <v>0</v>
      </c>
      <c r="W18" s="20">
        <f>-IFERROR(GETPIVOTDATA("[Measures].[Jrnl Posting Am]",'[1]Historical Summary Cube'!$A$5,"[Accounting Period].[Fisc Yr]","[Accounting Period].[Fisc Yr].&amp;[2013]","[Revenue].[Rev Src]","[Revenue].[Rev Src].&amp;[2671]","[Revenue].[Rev Src Nm]","[Revenue].[Rev Src Nm].&amp;[SALE OF PROMOTIONAL ITEMS]"),0)</f>
        <v>0</v>
      </c>
      <c r="X18" s="20">
        <f>-IFERROR(GETPIVOTDATA("[Measures].[Jrnl Posting Am]",'[1]Historical Summary Cube'!$A$5,"[Accounting Period].[Fisc Yr]","[Accounting Period].[Fisc Yr].&amp;[2014]","[Revenue].[Rev Src]","[Revenue].[Rev Src].&amp;[2671]","[Revenue].[Rev Src Nm]","[Revenue].[Rev Src Nm].&amp;[SALE OF PROMOTIONAL ITEMS]"),0)</f>
        <v>0</v>
      </c>
      <c r="Y18" s="20">
        <f>-IFERROR(GETPIVOTDATA("[Measures].[Jrnl Posting Am]",'[1]Historical Summary Cube'!$A$5,"[Accounting Period].[Fisc Yr]","[Accounting Period].[Fisc Yr].&amp;[2015]","[Revenue].[Rev Src]","[Revenue].[Rev Src].&amp;[2671]","[Revenue].[Rev Src Nm]","[Revenue].[Rev Src Nm].&amp;[SALE OF PROMOTIONAL ITEMS]"),0)</f>
        <v>0</v>
      </c>
      <c r="Z18" s="20">
        <f>-IFERROR(GETPIVOTDATA("[Measures].[Jrnl Posting Am]",'[1]Historical Summary Cube'!$A$5,"[Accounting Period].[Fisc Yr]","[Accounting Period].[Fisc Yr].&amp;[2016]","[Revenue].[Rev Src]","[Revenue].[Rev Src].&amp;[2671]","[Revenue].[Rev Src Nm]","[Revenue].[Rev Src Nm].&amp;[SALE OF PROMOTIONAL ITEMS]"),0)</f>
        <v>0</v>
      </c>
      <c r="AA18" s="20">
        <f>-IFERROR(GETPIVOTDATA("[Measures].[Jrnl Posting Am]",'[1]Historical Summary Cube'!$A$5,"[Accounting Period].[Fisc Yr]","[Accounting Period].[Fisc Yr].&amp;[2017]","[Revenue].[Rev Src]","[Revenue].[Rev Src].&amp;[2671]","[Revenue].[Rev Src Nm]","[Revenue].[Rev Src Nm].&amp;[SALE OF PROMOTIONAL ITEMS]"),0)</f>
        <v>0</v>
      </c>
      <c r="AB18" s="20">
        <f>-IFERROR(GETPIVOTDATA("[Measures].[Jrnl Posting Am]",'[1]Historical Summary Cube'!$A$5,"[Accounting Period].[Fisc Yr]","[Accounting Period].[Fisc Yr].&amp;[2018]","[Revenue].[Rev Src]","[Revenue].[Rev Src].&amp;[2671]","[Revenue].[Rev Src Nm]","[Revenue].[Rev Src Nm].&amp;[SALE OF PROMOTIONAL ITEMS]"),0)</f>
        <v>0</v>
      </c>
      <c r="AC18" s="20">
        <f>-IFERROR(GETPIVOTDATA("[Measures].[Jrnl Posting Am]",'[1]Historical Summary Cube'!$A$5,"[Accounting Period].[Fisc Yr]","[Accounting Period].[Fisc Yr].&amp;[2019]","[Revenue].[Rev Src]","[Revenue].[Rev Src].&amp;[2671]","[Revenue].[Rev Src Nm]","[Revenue].[Rev Src Nm].&amp;[SALE OF PROMOTIONAL ITEMS]"),0)</f>
        <v>0</v>
      </c>
      <c r="AD18" s="20">
        <f>-IFERROR(GETPIVOTDATA("[Measures].[Jrnl Posting Am]",'[1]Historical Summary Cube'!$A$5,"[Accounting Period].[Fisc Yr]","[Accounting Period].[Fisc Yr].&amp;[2020]","[Revenue].[Rev Src]","[Revenue].[Rev Src].&amp;[2671]","[Revenue].[Rev Src Nm]","[Revenue].[Rev Src Nm].&amp;[SALE OF PROMOTIONAL ITEMS]"),0)</f>
        <v>0</v>
      </c>
      <c r="AE18" s="20">
        <f>-IFERROR(GETPIVOTDATA("[Measures].[Jrnl Posting Am]",'[1]Historical Summary Cube'!$A$5,"[Accounting Period].[Fisc Yr]","[Accounting Period].[Fisc Yr].&amp;[2021]","[Revenue].[Rev Src]","[Revenue].[Rev Src].&amp;[2671]","[Revenue].[Rev Src Nm]","[Revenue].[Rev Src Nm].&amp;[SALE OF PROMOTIONAL ITEMS]"),0)</f>
        <v>0</v>
      </c>
      <c r="AF18" s="20">
        <f>-IFERROR(GETPIVOTDATA("[Measures].[Jrnl Posting Am]",'[1]Historical Summary Cube'!$A$5,"[Accounting Period].[Fisc Yr]","[Accounting Period].[Fisc Yr].&amp;[2022]","[Revenue].[Rev Src]","[Revenue].[Rev Src].&amp;[2671]","[Revenue].[Rev Src Nm]","[Revenue].[Rev Src Nm].&amp;[SALE OF PROMOTIONAL ITEMS]"),0)</f>
        <v>0</v>
      </c>
      <c r="AG18" s="20">
        <f>-IFERROR(GETPIVOTDATA("[Measures].[Jrnl Posting Am]",'[1]Historical Summary Cube'!$A$5,"[Accounting Period].[Fisc Yr]","[Accounting Period].[Fisc Yr].&amp;[2023]","[Revenue].[Rev Src]","[Revenue].[Rev Src].&amp;[2671]","[Revenue].[Rev Src Nm]","[Revenue].[Rev Src Nm].&amp;[SALE OF PROMOTIONAL ITEMS]"),0)</f>
        <v>0</v>
      </c>
      <c r="AH18" s="20">
        <f>-IFERROR(GETPIVOTDATA("[Measures].[Jrnl Posting Am]",'[1]Historical Summary Cube'!$A$5,"[Accounting Period].[Fisc Yr]","[Accounting Period].[Fisc Yr].&amp;[2024]","[Revenue].[Rev Src]","[Revenue].[Rev Src].&amp;[2671]","[Revenue].[Rev Src Nm]","[Revenue].[Rev Src Nm].&amp;[SALE OF PROMOTIONAL ITEMS]"),0)</f>
        <v>0</v>
      </c>
      <c r="AI18" s="11"/>
      <c r="AJ18" s="11"/>
    </row>
    <row r="19" spans="1:36" s="10" customFormat="1" ht="15.5" x14ac:dyDescent="0.35">
      <c r="A19" s="25">
        <v>2681</v>
      </c>
      <c r="B19" s="10" t="s">
        <v>21</v>
      </c>
      <c r="C19" s="20">
        <v>0</v>
      </c>
      <c r="D19" s="20">
        <v>0</v>
      </c>
      <c r="E19" s="20">
        <v>0</v>
      </c>
      <c r="F19" s="20">
        <v>0</v>
      </c>
      <c r="G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Period].&amp;[5]"),0)</f>
        <v>0</v>
      </c>
      <c r="H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Period].&amp;[6]"),0)</f>
        <v>0</v>
      </c>
      <c r="I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Period].&amp;[7]"),0)</f>
        <v>0</v>
      </c>
      <c r="J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Period].&amp;[8]"),0)</f>
        <v>0</v>
      </c>
      <c r="K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Period].&amp;[9]"),0)</f>
        <v>0</v>
      </c>
      <c r="L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Period].&amp;[10]"),0)</f>
        <v>0</v>
      </c>
      <c r="M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Period].&amp;[11]"),0)</f>
        <v>0</v>
      </c>
      <c r="N19" s="20">
        <f>-IFERROR(GETPIVOTDATA("[Measures].[Jrnl Posting Am]",'[1]Historical Summary Cube'!$A$75,"[Revenue].[Rev Src]","[Revenue].[Rev Src].&amp;[2681]","[Revenue].[Rev Src Nm]","[Revenue].[Rev Src Nm].&amp;[OVERPAYMENTS TO BE REFUNDED]","[Accounting Period].[Fisc Period]","[Accounting Period].[Fisc Period].&amp;[12]"),0)</f>
        <v>0</v>
      </c>
      <c r="O19" s="11">
        <f t="shared" si="2"/>
        <v>0</v>
      </c>
      <c r="P19" s="12"/>
      <c r="Q19" s="12"/>
      <c r="R19" s="20">
        <f>-IFERROR(GETPIVOTDATA("[Measures].[Jrnl Posting Am]",'[1]Historical Summary Cube'!$A$5,"[Accounting Period].[Fisc Yr]","[Accounting Period].[Fisc Yr].&amp;[2008]","[Revenue].[Rev Src]","[Revenue].[Rev Src].&amp;[2681]","[Revenue].[Rev Src Nm]","[Revenue].[Rev Src Nm].&amp;[OVERPAYMENTS TO BE REFUNDED]"),0)</f>
        <v>0</v>
      </c>
      <c r="S19" s="20">
        <f>-IFERROR(GETPIVOTDATA("[Measures].[Jrnl Posting Am]",'[1]Historical Summary Cube'!$A$5,"[Accounting Period].[Fisc Yr]","[Accounting Period].[Fisc Yr].&amp;[2009]","[Revenue].[Rev Src]","[Revenue].[Rev Src].&amp;[2681]","[Revenue].[Rev Src Nm]","[Revenue].[Rev Src Nm].&amp;[OVERPAYMENTS TO BE REFUNDED]"),0)</f>
        <v>80</v>
      </c>
      <c r="T19" s="20">
        <f>-IFERROR(GETPIVOTDATA("[Measures].[Jrnl Posting Am]",'[1]Historical Summary Cube'!$A$5,"[Accounting Period].[Fisc Yr]","[Accounting Period].[Fisc Yr].&amp;[2010]","[Revenue].[Rev Src]","[Revenue].[Rev Src].&amp;[2681]","[Revenue].[Rev Src Nm]","[Revenue].[Rev Src Nm].&amp;[OVERPAYMENTS TO BE REFUNDED]"),0)</f>
        <v>0</v>
      </c>
      <c r="U19" s="20">
        <f>-IFERROR(GETPIVOTDATA("[Measures].[Jrnl Posting Am]",'[1]Historical Summary Cube'!$A$5,"[Accounting Period].[Fisc Yr]","[Accounting Period].[Fisc Yr].&amp;[2011]","[Revenue].[Rev Src]","[Revenue].[Rev Src].&amp;[2681]","[Revenue].[Rev Src Nm]","[Revenue].[Rev Src Nm].&amp;[OVERPAYMENTS TO BE REFUNDED]"),0)</f>
        <v>0</v>
      </c>
      <c r="V19" s="20">
        <f>-IFERROR(GETPIVOTDATA("[Measures].[Jrnl Posting Am]",'[1]Historical Summary Cube'!$A$5,"[Accounting Period].[Fisc Yr]","[Accounting Period].[Fisc Yr].&amp;[2012]","[Revenue].[Rev Src]","[Revenue].[Rev Src].&amp;[2681]","[Revenue].[Rev Src Nm]","[Revenue].[Rev Src Nm].&amp;[OVERPAYMENTS TO BE REFUNDED]"),0)</f>
        <v>0</v>
      </c>
      <c r="W19" s="20">
        <f>-IFERROR(GETPIVOTDATA("[Measures].[Jrnl Posting Am]",'[1]Historical Summary Cube'!$A$5,"[Accounting Period].[Fisc Yr]","[Accounting Period].[Fisc Yr].&amp;[2013]","[Revenue].[Rev Src]","[Revenue].[Rev Src].&amp;[2681]","[Revenue].[Rev Src Nm]","[Revenue].[Rev Src Nm].&amp;[OVERPAYMENTS TO BE REFUNDED]"),0)</f>
        <v>0</v>
      </c>
      <c r="X19" s="20">
        <f>-IFERROR(GETPIVOTDATA("[Measures].[Jrnl Posting Am]",'[1]Historical Summary Cube'!$A$5,"[Accounting Period].[Fisc Yr]","[Accounting Period].[Fisc Yr].&amp;[2014]","[Revenue].[Rev Src]","[Revenue].[Rev Src].&amp;[2681]","[Revenue].[Rev Src Nm]","[Revenue].[Rev Src Nm].&amp;[OVERPAYMENTS TO BE REFUNDED]"),0)</f>
        <v>0</v>
      </c>
      <c r="Y19" s="20">
        <f>-IFERROR(GETPIVOTDATA("[Measures].[Jrnl Posting Am]",'[1]Historical Summary Cube'!$A$5,"[Accounting Period].[Fisc Yr]","[Accounting Period].[Fisc Yr].&amp;[2015]","[Revenue].[Rev Src]","[Revenue].[Rev Src].&amp;[2681]","[Revenue].[Rev Src Nm]","[Revenue].[Rev Src Nm].&amp;[OVERPAYMENTS TO BE REFUNDED]"),0)</f>
        <v>0</v>
      </c>
      <c r="Z19" s="20">
        <f>-IFERROR(GETPIVOTDATA("[Measures].[Jrnl Posting Am]",'[1]Historical Summary Cube'!$A$5,"[Accounting Period].[Fisc Yr]","[Accounting Period].[Fisc Yr].&amp;[2016]","[Revenue].[Rev Src]","[Revenue].[Rev Src].&amp;[2681]","[Revenue].[Rev Src Nm]","[Revenue].[Rev Src Nm].&amp;[OVERPAYMENTS TO BE REFUNDED]"),0)</f>
        <v>0</v>
      </c>
      <c r="AA19" s="20">
        <f>-IFERROR(GETPIVOTDATA("[Measures].[Jrnl Posting Am]",'[1]Historical Summary Cube'!$A$5,"[Accounting Period].[Fisc Yr]","[Accounting Period].[Fisc Yr].&amp;[2017]","[Revenue].[Rev Src]","[Revenue].[Rev Src].&amp;[2681]","[Revenue].[Rev Src Nm]","[Revenue].[Rev Src Nm].&amp;[OVERPAYMENTS TO BE REFUNDED]"),0)</f>
        <v>0</v>
      </c>
      <c r="AB19" s="20">
        <f>-IFERROR(GETPIVOTDATA("[Measures].[Jrnl Posting Am]",'[1]Historical Summary Cube'!$A$5,"[Accounting Period].[Fisc Yr]","[Accounting Period].[Fisc Yr].&amp;[2018]","[Revenue].[Rev Src]","[Revenue].[Rev Src].&amp;[2681]","[Revenue].[Rev Src Nm]","[Revenue].[Rev Src Nm].&amp;[OVERPAYMENTS TO BE REFUNDED]"),0)</f>
        <v>0</v>
      </c>
      <c r="AC19" s="20">
        <f>-IFERROR(GETPIVOTDATA("[Measures].[Jrnl Posting Am]",'[1]Historical Summary Cube'!$A$5,"[Accounting Period].[Fisc Yr]","[Accounting Period].[Fisc Yr].&amp;[2019]","[Revenue].[Rev Src]","[Revenue].[Rev Src].&amp;[2681]","[Revenue].[Rev Src Nm]","[Revenue].[Rev Src Nm].&amp;[OVERPAYMENTS TO BE REFUNDED]"),0)</f>
        <v>0</v>
      </c>
      <c r="AD19" s="20">
        <f>-IFERROR(GETPIVOTDATA("[Measures].[Jrnl Posting Am]",'[1]Historical Summary Cube'!$A$5,"[Accounting Period].[Fisc Yr]","[Accounting Period].[Fisc Yr].&amp;[2020]","[Revenue].[Rev Src]","[Revenue].[Rev Src].&amp;[2681]","[Revenue].[Rev Src Nm]","[Revenue].[Rev Src Nm].&amp;[OVERPAYMENTS TO BE REFUNDED]"),0)</f>
        <v>0</v>
      </c>
      <c r="AE19" s="20">
        <f>-IFERROR(GETPIVOTDATA("[Measures].[Jrnl Posting Am]",'[1]Historical Summary Cube'!$A$5,"[Accounting Period].[Fisc Yr]","[Accounting Period].[Fisc Yr].&amp;[2021]","[Revenue].[Rev Src]","[Revenue].[Rev Src].&amp;[2681]","[Revenue].[Rev Src Nm]","[Revenue].[Rev Src Nm].&amp;[OVERPAYMENTS TO BE REFUNDED]"),0)</f>
        <v>0</v>
      </c>
      <c r="AF19" s="20">
        <f>-IFERROR(GETPIVOTDATA("[Measures].[Jrnl Posting Am]",'[1]Historical Summary Cube'!$A$5,"[Accounting Period].[Fisc Yr]","[Accounting Period].[Fisc Yr].&amp;[2022]","[Revenue].[Rev Src]","[Revenue].[Rev Src].&amp;[2681]","[Revenue].[Rev Src Nm]","[Revenue].[Rev Src Nm].&amp;[OVERPAYMENTS TO BE REFUNDED]"),0)</f>
        <v>0</v>
      </c>
      <c r="AG19" s="20">
        <f>-IFERROR(GETPIVOTDATA("[Measures].[Jrnl Posting Am]",'[1]Historical Summary Cube'!$A$5,"[Accounting Period].[Fisc Yr]","[Accounting Period].[Fisc Yr].&amp;[2023]","[Revenue].[Rev Src]","[Revenue].[Rev Src].&amp;[2681]","[Revenue].[Rev Src Nm]","[Revenue].[Rev Src Nm].&amp;[OVERPAYMENTS TO BE REFUNDED]"),0)</f>
        <v>0</v>
      </c>
      <c r="AH19" s="20">
        <f>-IFERROR(GETPIVOTDATA("[Measures].[Jrnl Posting Am]",'[1]Historical Summary Cube'!$A$5,"[Accounting Period].[Fisc Yr]","[Accounting Period].[Fisc Yr].&amp;[2024]","[Revenue].[Rev Src]","[Revenue].[Rev Src].&amp;[2681]","[Revenue].[Rev Src Nm]","[Revenue].[Rev Src Nm].&amp;[OVERPAYMENTS TO BE REFUNDED]"),0)</f>
        <v>0</v>
      </c>
      <c r="AI19" s="11"/>
      <c r="AJ19" s="11"/>
    </row>
    <row r="20" spans="1:36" s="10" customFormat="1" ht="15.5" x14ac:dyDescent="0.35">
      <c r="A20" s="25" t="s">
        <v>22</v>
      </c>
      <c r="B20" s="10" t="s">
        <v>23</v>
      </c>
      <c r="C20" s="20">
        <v>0</v>
      </c>
      <c r="D20" s="20">
        <v>0</v>
      </c>
      <c r="E20" s="20">
        <v>0</v>
      </c>
      <c r="F20" s="20">
        <v>0</v>
      </c>
      <c r="G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Period].&amp;[5]"),0)</f>
        <v>0</v>
      </c>
      <c r="H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Period].&amp;[6]"),0)</f>
        <v>0</v>
      </c>
      <c r="I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Period].&amp;[7]"),0)</f>
        <v>0</v>
      </c>
      <c r="J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Period].&amp;[8]"),0)</f>
        <v>0</v>
      </c>
      <c r="K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Period].&amp;[9]"),0)</f>
        <v>0</v>
      </c>
      <c r="L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Period].&amp;[10]"),0)</f>
        <v>0</v>
      </c>
      <c r="M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Period].&amp;[11]"),0)</f>
        <v>0</v>
      </c>
      <c r="N20" s="20">
        <f>-IFERROR(GETPIVOTDATA("[Measures].[Jrnl Posting Am]",'[1]Historical Summary Cube'!$A$75,"[Revenue].[Rev Src]","[Revenue].[Rev Src].&amp;[2686]","[Revenue].[Rev Src Nm]","[Revenue].[Rev Src Nm].&amp;[MISC-INCOME]","[Accounting Period].[Fisc Period]","[Accounting Period].[Fisc Period].&amp;[12]"),0)</f>
        <v>0</v>
      </c>
      <c r="O20" s="11">
        <f t="shared" si="2"/>
        <v>0</v>
      </c>
      <c r="P20" s="12"/>
      <c r="Q20" s="12"/>
      <c r="R20" s="20">
        <f>-IFERROR(GETPIVOTDATA("[Measures].[Jrnl Posting Am]",'[1]Historical Summary Cube'!$A$5,"[Accounting Period].[Fisc Yr]","[Accounting Period].[Fisc Yr].&amp;[2008]","[Revenue].[Rev Src]","[Revenue].[Rev Src].&amp;[2686]","[Revenue].[Rev Src Nm]","[Revenue].[Rev Src Nm].&amp;[MISC-INCOME]"),0)</f>
        <v>10165</v>
      </c>
      <c r="S20" s="20">
        <f>-IFERROR(GETPIVOTDATA("[Measures].[Jrnl Posting Am]",'[1]Historical Summary Cube'!$A$5,"[Accounting Period].[Fisc Yr]","[Accounting Period].[Fisc Yr].&amp;[2009]","[Revenue].[Rev Src]","[Revenue].[Rev Src].&amp;[2686]","[Revenue].[Rev Src Nm]","[Revenue].[Rev Src Nm].&amp;[MISC-INCOME]"),0)</f>
        <v>375</v>
      </c>
      <c r="T20" s="20">
        <f>-IFERROR(GETPIVOTDATA("[Measures].[Jrnl Posting Am]",'[1]Historical Summary Cube'!$A$5,"[Accounting Period].[Fisc Yr]","[Accounting Period].[Fisc Yr].&amp;[2010]","[Revenue].[Rev Src]","[Revenue].[Rev Src].&amp;[2686]","[Revenue].[Rev Src Nm]","[Revenue].[Rev Src Nm].&amp;[MISC-INCOME]"),0)</f>
        <v>375</v>
      </c>
      <c r="U20" s="20">
        <f>-IFERROR(GETPIVOTDATA("[Measures].[Jrnl Posting Am]",'[1]Historical Summary Cube'!$A$5,"[Accounting Period].[Fisc Yr]","[Accounting Period].[Fisc Yr].&amp;[2011]","[Revenue].[Rev Src]","[Revenue].[Rev Src].&amp;[2686]","[Revenue].[Rev Src Nm]","[Revenue].[Rev Src Nm].&amp;[MISC-INCOME]"),0)</f>
        <v>387.5</v>
      </c>
      <c r="V20" s="20">
        <f>-IFERROR(GETPIVOTDATA("[Measures].[Jrnl Posting Am]",'[1]Historical Summary Cube'!$A$5,"[Accounting Period].[Fisc Yr]","[Accounting Period].[Fisc Yr].&amp;[2012]","[Revenue].[Rev Src]","[Revenue].[Rev Src].&amp;[2686]","[Revenue].[Rev Src Nm]","[Revenue].[Rev Src Nm].&amp;[MISC-INCOME]"),0)</f>
        <v>0</v>
      </c>
      <c r="W20" s="20">
        <f>-IFERROR(GETPIVOTDATA("[Measures].[Jrnl Posting Am]",'[1]Historical Summary Cube'!$A$5,"[Accounting Period].[Fisc Yr]","[Accounting Period].[Fisc Yr].&amp;[2013]","[Revenue].[Rev Src]","[Revenue].[Rev Src].&amp;[2686]","[Revenue].[Rev Src Nm]","[Revenue].[Rev Src Nm].&amp;[MISC-INCOME]"),0)</f>
        <v>0</v>
      </c>
      <c r="X20" s="20">
        <f>-IFERROR(GETPIVOTDATA("[Measures].[Jrnl Posting Am]",'[1]Historical Summary Cube'!$A$5,"[Accounting Period].[Fisc Yr]","[Accounting Period].[Fisc Yr].&amp;[2014]","[Revenue].[Rev Src]","[Revenue].[Rev Src].&amp;[2686]","[Revenue].[Rev Src Nm]","[Revenue].[Rev Src Nm].&amp;[MISC-INCOME]"),0)</f>
        <v>0</v>
      </c>
      <c r="Y20" s="20">
        <f>-IFERROR(GETPIVOTDATA("[Measures].[Jrnl Posting Am]",'[1]Historical Summary Cube'!$A$5,"[Accounting Period].[Fisc Yr]","[Accounting Period].[Fisc Yr].&amp;[2015]","[Revenue].[Rev Src]","[Revenue].[Rev Src].&amp;[2686]","[Revenue].[Rev Src Nm]","[Revenue].[Rev Src Nm].&amp;[MISC-INCOME]"),0)</f>
        <v>44.46</v>
      </c>
      <c r="Z20" s="20">
        <f>-IFERROR(GETPIVOTDATA("[Measures].[Jrnl Posting Am]",'[1]Historical Summary Cube'!$A$5,"[Accounting Period].[Fisc Yr]","[Accounting Period].[Fisc Yr].&amp;[2016]","[Revenue].[Rev Src]","[Revenue].[Rev Src].&amp;[2686]","[Revenue].[Rev Src Nm]","[Revenue].[Rev Src Nm].&amp;[MISC-INCOME]"),0)</f>
        <v>23.36</v>
      </c>
      <c r="AA20" s="20">
        <f>-IFERROR(GETPIVOTDATA("[Measures].[Jrnl Posting Am]",'[1]Historical Summary Cube'!$A$5,"[Accounting Period].[Fisc Yr]","[Accounting Period].[Fisc Yr].&amp;[2017]","[Revenue].[Rev Src]","[Revenue].[Rev Src].&amp;[2686]","[Revenue].[Rev Src Nm]","[Revenue].[Rev Src Nm].&amp;[MISC-INCOME]"),0)</f>
        <v>74.8</v>
      </c>
      <c r="AB20" s="20">
        <f>-IFERROR(GETPIVOTDATA("[Measures].[Jrnl Posting Am]",'[1]Historical Summary Cube'!$A$5,"[Accounting Period].[Fisc Yr]","[Accounting Period].[Fisc Yr].&amp;[2018]","[Revenue].[Rev Src]","[Revenue].[Rev Src].&amp;[2686]","[Revenue].[Rev Src Nm]","[Revenue].[Rev Src Nm].&amp;[MISC-INCOME]"),0)</f>
        <v>21.62</v>
      </c>
      <c r="AC20" s="20">
        <f>-IFERROR(GETPIVOTDATA("[Measures].[Jrnl Posting Am]",'[1]Historical Summary Cube'!$A$5,"[Accounting Period].[Fisc Yr]","[Accounting Period].[Fisc Yr].&amp;[2019]","[Revenue].[Rev Src]","[Revenue].[Rev Src].&amp;[2686]","[Revenue].[Rev Src Nm]","[Revenue].[Rev Src Nm].&amp;[MISC-INCOME]"),0)</f>
        <v>15</v>
      </c>
      <c r="AD20" s="20">
        <f>-IFERROR(GETPIVOTDATA("[Measures].[Jrnl Posting Am]",'[1]Historical Summary Cube'!$A$5,"[Accounting Period].[Fisc Yr]","[Accounting Period].[Fisc Yr].&amp;[2020]","[Revenue].[Rev Src]","[Revenue].[Rev Src].&amp;[2686]","[Revenue].[Rev Src Nm]","[Revenue].[Rev Src Nm].&amp;[MISC-INCOME]"),0)</f>
        <v>3.26</v>
      </c>
      <c r="AE20" s="20">
        <f>-IFERROR(GETPIVOTDATA("[Measures].[Jrnl Posting Am]",'[1]Historical Summary Cube'!$A$5,"[Accounting Period].[Fisc Yr]","[Accounting Period].[Fisc Yr].&amp;[2021]","[Revenue].[Rev Src]","[Revenue].[Rev Src].&amp;[2686]","[Revenue].[Rev Src Nm]","[Revenue].[Rev Src Nm].&amp;[MISC-INCOME]"),0)</f>
        <v>858.35</v>
      </c>
      <c r="AF20" s="20">
        <f>-IFERROR(GETPIVOTDATA("[Measures].[Jrnl Posting Am]",'[1]Historical Summary Cube'!$A$5,"[Accounting Period].[Fisc Yr]","[Accounting Period].[Fisc Yr].&amp;[2022]","[Revenue].[Rev Src]","[Revenue].[Rev Src].&amp;[2686]","[Revenue].[Rev Src Nm]","[Revenue].[Rev Src Nm].&amp;[MISC-INCOME]"),0)</f>
        <v>5.63</v>
      </c>
      <c r="AG20" s="20">
        <f>-IFERROR(GETPIVOTDATA("[Measures].[Jrnl Posting Am]",'[1]Historical Summary Cube'!$A$5,"[Accounting Period].[Fisc Yr]","[Accounting Period].[Fisc Yr].&amp;[2023]","[Revenue].[Rev Src]","[Revenue].[Rev Src].&amp;[2686]","[Revenue].[Rev Src Nm]","[Revenue].[Rev Src Nm].&amp;[MISC-INCOME]"),0)</f>
        <v>0</v>
      </c>
      <c r="AH20" s="20">
        <f>-IFERROR(GETPIVOTDATA("[Measures].[Jrnl Posting Am]",'[1]Historical Summary Cube'!$A$5,"[Accounting Period].[Fisc Yr]","[Accounting Period].[Fisc Yr].&amp;[2024]","[Revenue].[Rev Src]","[Revenue].[Rev Src].&amp;[2686]","[Revenue].[Rev Src Nm]","[Revenue].[Rev Src Nm].&amp;[MISC-INCOME]"),0)</f>
        <v>0</v>
      </c>
      <c r="AI20" s="11"/>
      <c r="AJ20" s="11"/>
    </row>
    <row r="21" spans="1:36" s="10" customFormat="1" ht="15.5" x14ac:dyDescent="0.35">
      <c r="A21" s="25">
        <v>2690</v>
      </c>
      <c r="B21" s="10" t="s">
        <v>24</v>
      </c>
      <c r="C21" s="20">
        <v>0</v>
      </c>
      <c r="D21" s="20">
        <v>0</v>
      </c>
      <c r="E21" s="20">
        <v>0</v>
      </c>
      <c r="F21" s="20">
        <v>0</v>
      </c>
      <c r="G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Period].&amp;[5]"),0)</f>
        <v>0</v>
      </c>
      <c r="H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Period].&amp;[6]"),0)</f>
        <v>0</v>
      </c>
      <c r="I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Period].&amp;[7]"),0)</f>
        <v>0</v>
      </c>
      <c r="J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Period].&amp;[8]"),0)</f>
        <v>0</v>
      </c>
      <c r="K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Period].&amp;[9]"),0)</f>
        <v>0</v>
      </c>
      <c r="L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Period].&amp;[10]"),0)</f>
        <v>0</v>
      </c>
      <c r="M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Period].&amp;[11]"),0)</f>
        <v>0</v>
      </c>
      <c r="N21" s="20">
        <f>-IFERROR(GETPIVOTDATA("[Measures].[Jrnl Posting Am]",'[1]Historical Summary Cube'!$A$75,"[Revenue].[Rev Src]","[Revenue].[Rev Src].&amp;[2690]","[Revenue].[Rev Src Nm]","[Revenue].[Rev Src Nm].&amp;[RECOVERED COST]","[Accounting Period].[Fisc Period]","[Accounting Period].[Fisc Period].&amp;[12]"),0)</f>
        <v>0</v>
      </c>
      <c r="O21" s="11">
        <f t="shared" si="2"/>
        <v>0</v>
      </c>
      <c r="P21" s="12"/>
      <c r="Q21" s="12"/>
      <c r="R21" s="20">
        <f>-IFERROR(GETPIVOTDATA("[Measures].[Jrnl Posting Am]",'[1]Historical Summary Cube'!$A$5,"[Accounting Period].[Fisc Yr]","[Accounting Period].[Fisc Yr].&amp;[2008]","[Revenue].[Rev Src]","[Revenue].[Rev Src].&amp;[2690]","[Revenue].[Rev Src Nm]","[Revenue].[Rev Src Nm].&amp;[RECOVERED COST]"),0)</f>
        <v>0</v>
      </c>
      <c r="S21" s="20">
        <f>-IFERROR(GETPIVOTDATA("[Measures].[Jrnl Posting Am]",'[1]Historical Summary Cube'!$A$5,"[Accounting Period].[Fisc Yr]","[Accounting Period].[Fisc Yr].&amp;[2009]","[Revenue].[Rev Src]","[Revenue].[Rev Src].&amp;[2690]","[Revenue].[Rev Src Nm]","[Revenue].[Rev Src Nm].&amp;[RECOVERED COST]"),0)</f>
        <v>0</v>
      </c>
      <c r="T21" s="20">
        <f>-IFERROR(GETPIVOTDATA("[Measures].[Jrnl Posting Am]",'[1]Historical Summary Cube'!$A$5,"[Accounting Period].[Fisc Yr]","[Accounting Period].[Fisc Yr].&amp;[2010]","[Revenue].[Rev Src]","[Revenue].[Rev Src].&amp;[2690]","[Revenue].[Rev Src Nm]","[Revenue].[Rev Src Nm].&amp;[RECOVERED COST]"),0)</f>
        <v>0</v>
      </c>
      <c r="U21" s="20">
        <f>-IFERROR(GETPIVOTDATA("[Measures].[Jrnl Posting Am]",'[1]Historical Summary Cube'!$A$5,"[Accounting Period].[Fisc Yr]","[Accounting Period].[Fisc Yr].&amp;[2011]","[Revenue].[Rev Src]","[Revenue].[Rev Src].&amp;[2690]","[Revenue].[Rev Src Nm]","[Revenue].[Rev Src Nm].&amp;[RECOVERED COST]"),0)</f>
        <v>0</v>
      </c>
      <c r="V21" s="20">
        <f>-IFERROR(GETPIVOTDATA("[Measures].[Jrnl Posting Am]",'[1]Historical Summary Cube'!$A$5,"[Accounting Period].[Fisc Yr]","[Accounting Period].[Fisc Yr].&amp;[2012]","[Revenue].[Rev Src]","[Revenue].[Rev Src].&amp;[2690]","[Revenue].[Rev Src Nm]","[Revenue].[Rev Src Nm].&amp;[RECOVERED COST]"),0)</f>
        <v>0</v>
      </c>
      <c r="W21" s="20">
        <f>-IFERROR(GETPIVOTDATA("[Measures].[Jrnl Posting Am]",'[1]Historical Summary Cube'!$A$5,"[Accounting Period].[Fisc Yr]","[Accounting Period].[Fisc Yr].&amp;[2013]","[Revenue].[Rev Src]","[Revenue].[Rev Src].&amp;[2690]","[Revenue].[Rev Src Nm]","[Revenue].[Rev Src Nm].&amp;[RECOVERED COST]"),0)</f>
        <v>0</v>
      </c>
      <c r="X21" s="20">
        <f>-IFERROR(GETPIVOTDATA("[Measures].[Jrnl Posting Am]",'[1]Historical Summary Cube'!$A$5,"[Accounting Period].[Fisc Yr]","[Accounting Period].[Fisc Yr].&amp;[2014]","[Revenue].[Rev Src]","[Revenue].[Rev Src].&amp;[2690]","[Revenue].[Rev Src Nm]","[Revenue].[Rev Src Nm].&amp;[RECOVERED COST]"),0)</f>
        <v>0</v>
      </c>
      <c r="Y21" s="20">
        <f>-IFERROR(GETPIVOTDATA("[Measures].[Jrnl Posting Am]",'[1]Historical Summary Cube'!$A$5,"[Accounting Period].[Fisc Yr]","[Accounting Period].[Fisc Yr].&amp;[2015]","[Revenue].[Rev Src]","[Revenue].[Rev Src].&amp;[2690]","[Revenue].[Rev Src Nm]","[Revenue].[Rev Src Nm].&amp;[RECOVERED COST]"),0)</f>
        <v>0</v>
      </c>
      <c r="Z21" s="20">
        <f>-IFERROR(GETPIVOTDATA("[Measures].[Jrnl Posting Am]",'[1]Historical Summary Cube'!$A$5,"[Accounting Period].[Fisc Yr]","[Accounting Period].[Fisc Yr].&amp;[2016]","[Revenue].[Rev Src]","[Revenue].[Rev Src].&amp;[2690]","[Revenue].[Rev Src Nm]","[Revenue].[Rev Src Nm].&amp;[RECOVERED COST]"),0)</f>
        <v>0</v>
      </c>
      <c r="AA21" s="20">
        <f>-IFERROR(GETPIVOTDATA("[Measures].[Jrnl Posting Am]",'[1]Historical Summary Cube'!$A$5,"[Accounting Period].[Fisc Yr]","[Accounting Period].[Fisc Yr].&amp;[2017]","[Revenue].[Rev Src]","[Revenue].[Rev Src].&amp;[2690]","[Revenue].[Rev Src Nm]","[Revenue].[Rev Src Nm].&amp;[RECOVERED COST]"),0)</f>
        <v>0</v>
      </c>
      <c r="AB21" s="20">
        <f>-IFERROR(GETPIVOTDATA("[Measures].[Jrnl Posting Am]",'[1]Historical Summary Cube'!$A$5,"[Accounting Period].[Fisc Yr]","[Accounting Period].[Fisc Yr].&amp;[2018]","[Revenue].[Rev Src]","[Revenue].[Rev Src].&amp;[2690]","[Revenue].[Rev Src Nm]","[Revenue].[Rev Src Nm].&amp;[RECOVERED COST]"),0)</f>
        <v>82.5</v>
      </c>
      <c r="AC21" s="20">
        <f>-IFERROR(GETPIVOTDATA("[Measures].[Jrnl Posting Am]",'[1]Historical Summary Cube'!$A$5,"[Accounting Period].[Fisc Yr]","[Accounting Period].[Fisc Yr].&amp;[2019]","[Revenue].[Rev Src]","[Revenue].[Rev Src].&amp;[2690]","[Revenue].[Rev Src Nm]","[Revenue].[Rev Src Nm].&amp;[RECOVERED COST]"),0)</f>
        <v>0</v>
      </c>
      <c r="AD21" s="20">
        <f>-IFERROR(GETPIVOTDATA("[Measures].[Jrnl Posting Am]",'[1]Historical Summary Cube'!$A$5,"[Accounting Period].[Fisc Yr]","[Accounting Period].[Fisc Yr].&amp;[2020]","[Revenue].[Rev Src]","[Revenue].[Rev Src].&amp;[2690]","[Revenue].[Rev Src Nm]","[Revenue].[Rev Src Nm].&amp;[RECOVERED COST]"),0)</f>
        <v>142.5</v>
      </c>
      <c r="AE21" s="20">
        <f>-IFERROR(GETPIVOTDATA("[Measures].[Jrnl Posting Am]",'[1]Historical Summary Cube'!$A$5,"[Accounting Period].[Fisc Yr]","[Accounting Period].[Fisc Yr].&amp;[2021]","[Revenue].[Rev Src]","[Revenue].[Rev Src].&amp;[2690]","[Revenue].[Rev Src Nm]","[Revenue].[Rev Src Nm].&amp;[RECOVERED COST]"),0)</f>
        <v>0</v>
      </c>
      <c r="AF21" s="20">
        <f>-IFERROR(GETPIVOTDATA("[Measures].[Jrnl Posting Am]",'[1]Historical Summary Cube'!$A$5,"[Accounting Period].[Fisc Yr]","[Accounting Period].[Fisc Yr].&amp;[2022]","[Revenue].[Rev Src]","[Revenue].[Rev Src].&amp;[2690]","[Revenue].[Rev Src Nm]","[Revenue].[Rev Src Nm].&amp;[RECOVERED COST]"),0)</f>
        <v>0</v>
      </c>
      <c r="AG21" s="20">
        <f>-IFERROR(GETPIVOTDATA("[Measures].[Jrnl Posting Am]",'[1]Historical Summary Cube'!$A$5,"[Accounting Period].[Fisc Yr]","[Accounting Period].[Fisc Yr].&amp;[2023]","[Revenue].[Rev Src]","[Revenue].[Rev Src].&amp;[2690]","[Revenue].[Rev Src Nm]","[Revenue].[Rev Src Nm].&amp;[RECOVERED COST]"),0)</f>
        <v>100</v>
      </c>
      <c r="AH21" s="20">
        <f>-IFERROR(GETPIVOTDATA("[Measures].[Jrnl Posting Am]",'[1]Historical Summary Cube'!$A$5,"[Accounting Period].[Fisc Yr]","[Accounting Period].[Fisc Yr].&amp;[2024]","[Revenue].[Rev Src]","[Revenue].[Rev Src].&amp;[2690]","[Revenue].[Rev Src Nm]","[Revenue].[Rev Src Nm].&amp;[RECOVERED COST]"),0)</f>
        <v>0</v>
      </c>
      <c r="AI21" s="11"/>
      <c r="AJ21" s="11"/>
    </row>
    <row r="22" spans="1:36" s="10" customFormat="1" ht="15.5" x14ac:dyDescent="0.35">
      <c r="A22" s="25" t="s">
        <v>25</v>
      </c>
      <c r="B22" s="10" t="s">
        <v>26</v>
      </c>
      <c r="C22" s="20">
        <v>0</v>
      </c>
      <c r="D22" s="20">
        <v>0</v>
      </c>
      <c r="E22" s="20">
        <v>0</v>
      </c>
      <c r="F22" s="20">
        <v>0</v>
      </c>
      <c r="G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Period].&amp;[5]"),0)</f>
        <v>0</v>
      </c>
      <c r="H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Period].&amp;[6]"),0)</f>
        <v>0</v>
      </c>
      <c r="I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Period].&amp;[7]"),0)</f>
        <v>0</v>
      </c>
      <c r="J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Period].&amp;[8]"),0)</f>
        <v>0</v>
      </c>
      <c r="K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Period].&amp;[9]"),0)</f>
        <v>0</v>
      </c>
      <c r="L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Period].&amp;[10]"),0)</f>
        <v>0</v>
      </c>
      <c r="M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Period].&amp;[11]"),0)</f>
        <v>0</v>
      </c>
      <c r="N22" s="20">
        <f>-IFERROR(GETPIVOTDATA("[Measures].[Jrnl Posting Am]",'[1]Historical Summary Cube'!$A$75,"[Revenue].[Rev Src]","[Revenue].[Rev Src].&amp;[2934]","[Revenue].[Rev Src Nm]","[Revenue].[Rev Src Nm].&amp;[TRANS FROM GENERAL FD SURPLUS]","[Accounting Period].[Fisc Period]","[Accounting Period].[Fisc Period].&amp;[12]"),0)</f>
        <v>0</v>
      </c>
      <c r="O22" s="11">
        <f t="shared" si="2"/>
        <v>0</v>
      </c>
      <c r="P22" s="12"/>
      <c r="Q22" s="12"/>
      <c r="R22" s="20">
        <f>-IFERROR(GETPIVOTDATA("[Measures].[Jrnl Posting Am]",'[1]Historical Summary Cube'!$A$5,"[Accounting Period].[Fisc Yr]","[Accounting Period].[Fisc Yr].&amp;[2008]","[Revenue].[Rev Src]","[Revenue].[Rev Src].&amp;[2934]","[Revenue].[Rev Src Nm]","[Revenue].[Rev Src Nm].&amp;[TRANS FROM GENERAL FD SURPLUS]"),0)</f>
        <v>0</v>
      </c>
      <c r="S22" s="20">
        <f>-IFERROR(GETPIVOTDATA("[Measures].[Jrnl Posting Am]",'[1]Historical Summary Cube'!$A$5,"[Accounting Period].[Fisc Yr]","[Accounting Period].[Fisc Yr].&amp;[2009]","[Revenue].[Rev Src]","[Revenue].[Rev Src].&amp;[2934]","[Revenue].[Rev Src Nm]","[Revenue].[Rev Src Nm].&amp;[TRANS FROM GENERAL FD SURPLUS]"),0)</f>
        <v>0</v>
      </c>
      <c r="T22" s="20">
        <f>-IFERROR(GETPIVOTDATA("[Measures].[Jrnl Posting Am]",'[1]Historical Summary Cube'!$A$5,"[Accounting Period].[Fisc Yr]","[Accounting Period].[Fisc Yr].&amp;[2010]","[Revenue].[Rev Src]","[Revenue].[Rev Src].&amp;[2934]","[Revenue].[Rev Src Nm]","[Revenue].[Rev Src Nm].&amp;[TRANS FROM GENERAL FD SURPLUS]"),0)</f>
        <v>-54183</v>
      </c>
      <c r="U22" s="20">
        <f>-IFERROR(GETPIVOTDATA("[Measures].[Jrnl Posting Am]",'[1]Historical Summary Cube'!$A$5,"[Accounting Period].[Fisc Yr]","[Accounting Period].[Fisc Yr].&amp;[2011]","[Revenue].[Rev Src]","[Revenue].[Rev Src].&amp;[2934]","[Revenue].[Rev Src Nm]","[Revenue].[Rev Src Nm].&amp;[TRANS FROM GENERAL FD SURPLUS]"),0)</f>
        <v>-351931</v>
      </c>
      <c r="V22" s="20">
        <f>-IFERROR(GETPIVOTDATA("[Measures].[Jrnl Posting Am]",'[1]Historical Summary Cube'!$A$5,"[Accounting Period].[Fisc Yr]","[Accounting Period].[Fisc Yr].&amp;[2012]","[Revenue].[Rev Src]","[Revenue].[Rev Src].&amp;[2934]","[Revenue].[Rev Src Nm]","[Revenue].[Rev Src Nm].&amp;[TRANS FROM GENERAL FD SURPLUS]"),0)</f>
        <v>0</v>
      </c>
      <c r="W22" s="20">
        <f>-IFERROR(GETPIVOTDATA("[Measures].[Jrnl Posting Am]",'[1]Historical Summary Cube'!$A$5,"[Accounting Period].[Fisc Yr]","[Accounting Period].[Fisc Yr].&amp;[2013]","[Revenue].[Rev Src]","[Revenue].[Rev Src].&amp;[2934]","[Revenue].[Rev Src Nm]","[Revenue].[Rev Src Nm].&amp;[TRANS FROM GENERAL FD SURPLUS]"),0)</f>
        <v>0</v>
      </c>
      <c r="X22" s="20">
        <f>-IFERROR(GETPIVOTDATA("[Measures].[Jrnl Posting Am]",'[1]Historical Summary Cube'!$A$5,"[Accounting Period].[Fisc Yr]","[Accounting Period].[Fisc Yr].&amp;[2014]","[Revenue].[Rev Src]","[Revenue].[Rev Src].&amp;[2934]","[Revenue].[Rev Src Nm]","[Revenue].[Rev Src Nm].&amp;[TRANS FROM GENERAL FD SURPLUS]"),0)</f>
        <v>0</v>
      </c>
      <c r="Y22" s="20">
        <f>-IFERROR(GETPIVOTDATA("[Measures].[Jrnl Posting Am]",'[1]Historical Summary Cube'!$A$5,"[Accounting Period].[Fisc Yr]","[Accounting Period].[Fisc Yr].&amp;[2015]","[Revenue].[Rev Src]","[Revenue].[Rev Src].&amp;[2934]","[Revenue].[Rev Src Nm]","[Revenue].[Rev Src Nm].&amp;[TRANS FROM GENERAL FD SURPLUS]"),0)</f>
        <v>0</v>
      </c>
      <c r="Z22" s="20">
        <f>-IFERROR(GETPIVOTDATA("[Measures].[Jrnl Posting Am]",'[1]Historical Summary Cube'!$A$5,"[Accounting Period].[Fisc Yr]","[Accounting Period].[Fisc Yr].&amp;[2016]","[Revenue].[Rev Src]","[Revenue].[Rev Src].&amp;[2934]","[Revenue].[Rev Src Nm]","[Revenue].[Rev Src Nm].&amp;[TRANS FROM GENERAL FD SURPLUS]"),0)</f>
        <v>0</v>
      </c>
      <c r="AA22" s="20">
        <f>-IFERROR(GETPIVOTDATA("[Measures].[Jrnl Posting Am]",'[1]Historical Summary Cube'!$A$5,"[Accounting Period].[Fisc Yr]","[Accounting Period].[Fisc Yr].&amp;[2017]","[Revenue].[Rev Src]","[Revenue].[Rev Src].&amp;[2934]","[Revenue].[Rev Src Nm]","[Revenue].[Rev Src Nm].&amp;[TRANS FROM GENERAL FD SURPLUS]"),0)</f>
        <v>0</v>
      </c>
      <c r="AB22" s="20">
        <f>-IFERROR(GETPIVOTDATA("[Measures].[Jrnl Posting Am]",'[1]Historical Summary Cube'!$A$5,"[Accounting Period].[Fisc Yr]","[Accounting Period].[Fisc Yr].&amp;[2018]","[Revenue].[Rev Src]","[Revenue].[Rev Src].&amp;[2934]","[Revenue].[Rev Src Nm]","[Revenue].[Rev Src Nm].&amp;[TRANS FROM GENERAL FD SURPLUS]"),0)</f>
        <v>0</v>
      </c>
      <c r="AC22" s="20">
        <f>-IFERROR(GETPIVOTDATA("[Measures].[Jrnl Posting Am]",'[1]Historical Summary Cube'!$A$5,"[Accounting Period].[Fisc Yr]","[Accounting Period].[Fisc Yr].&amp;[2019]","[Revenue].[Rev Src]","[Revenue].[Rev Src].&amp;[2934]","[Revenue].[Rev Src Nm]","[Revenue].[Rev Src Nm].&amp;[TRANS FROM GENERAL FD SURPLUS]"),0)</f>
        <v>0</v>
      </c>
      <c r="AD22" s="20">
        <f>-IFERROR(GETPIVOTDATA("[Measures].[Jrnl Posting Am]",'[1]Historical Summary Cube'!$A$5,"[Accounting Period].[Fisc Yr]","[Accounting Period].[Fisc Yr].&amp;[2020]","[Revenue].[Rev Src]","[Revenue].[Rev Src].&amp;[2934]","[Revenue].[Rev Src Nm]","[Revenue].[Rev Src Nm].&amp;[TRANS FROM GENERAL FD SURPLUS]"),0)</f>
        <v>0</v>
      </c>
      <c r="AE22" s="20">
        <f>-IFERROR(GETPIVOTDATA("[Measures].[Jrnl Posting Am]",'[1]Historical Summary Cube'!$A$5,"[Accounting Period].[Fisc Yr]","[Accounting Period].[Fisc Yr].&amp;[2021]","[Revenue].[Rev Src]","[Revenue].[Rev Src].&amp;[2934]","[Revenue].[Rev Src Nm]","[Revenue].[Rev Src Nm].&amp;[TRANS FROM GENERAL FD SURPLUS]"),0)</f>
        <v>0</v>
      </c>
      <c r="AF22" s="20">
        <f>-IFERROR(GETPIVOTDATA("[Measures].[Jrnl Posting Am]",'[1]Historical Summary Cube'!$A$5,"[Accounting Period].[Fisc Yr]","[Accounting Period].[Fisc Yr].&amp;[2022]","[Revenue].[Rev Src]","[Revenue].[Rev Src].&amp;[2934]","[Revenue].[Rev Src Nm]","[Revenue].[Rev Src Nm].&amp;[TRANS FROM GENERAL FD SURPLUS]"),0)</f>
        <v>0</v>
      </c>
      <c r="AG22" s="20">
        <f>-IFERROR(GETPIVOTDATA("[Measures].[Jrnl Posting Am]",'[1]Historical Summary Cube'!$A$5,"[Accounting Period].[Fisc Yr]","[Accounting Period].[Fisc Yr].&amp;[2023]","[Revenue].[Rev Src]","[Revenue].[Rev Src].&amp;[2934]","[Revenue].[Rev Src Nm]","[Revenue].[Rev Src Nm].&amp;[TRANS FROM GENERAL FD SURPLUS]"),0)</f>
        <v>0</v>
      </c>
      <c r="AH22" s="20">
        <f>-IFERROR(GETPIVOTDATA("[Measures].[Jrnl Posting Am]",'[1]Historical Summary Cube'!$A$5,"[Accounting Period].[Fisc Yr]","[Accounting Period].[Fisc Yr].&amp;[2024]","[Revenue].[Rev Src]","[Revenue].[Rev Src].&amp;[2934]","[Revenue].[Rev Src Nm]","[Revenue].[Rev Src Nm].&amp;[TRANS FROM GENERAL FD SURPLUS]"),0)</f>
        <v>0</v>
      </c>
      <c r="AI22" s="11"/>
      <c r="AJ22" s="11"/>
    </row>
    <row r="23" spans="1:36" s="10" customFormat="1" ht="15.5" x14ac:dyDescent="0.35">
      <c r="A23" s="25" t="s">
        <v>27</v>
      </c>
      <c r="B23" s="10" t="s">
        <v>28</v>
      </c>
      <c r="C23" s="20">
        <v>0</v>
      </c>
      <c r="D23" s="20">
        <v>0</v>
      </c>
      <c r="E23" s="20">
        <v>0</v>
      </c>
      <c r="F23" s="20">
        <v>0</v>
      </c>
      <c r="G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Period].&amp;[5]"),0)</f>
        <v>0</v>
      </c>
      <c r="H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Period].&amp;[6]"),0)</f>
        <v>0</v>
      </c>
      <c r="I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Period].&amp;[7]"),0)</f>
        <v>0</v>
      </c>
      <c r="J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Period].&amp;[8]"),0)</f>
        <v>0</v>
      </c>
      <c r="K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Period].&amp;[9]"),0)</f>
        <v>0</v>
      </c>
      <c r="L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Period].&amp;[10]"),0)</f>
        <v>0</v>
      </c>
      <c r="M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Period].&amp;[11]"),0)</f>
        <v>0</v>
      </c>
      <c r="N23" s="20">
        <f>-IFERROR(GETPIVOTDATA("[Measures].[Jrnl Posting Am]",'[1]Historical Summary Cube'!$A$75,"[Revenue].[Rev Src]","[Revenue].[Rev Src].&amp;[2952]","[Revenue].[Rev Src Nm]","[Revenue].[Rev Src Nm].&amp;[ADJ TO PRIOR YEAR BAL/UNALLOCT]","[Accounting Period].[Fisc Period]","[Accounting Period].[Fisc Period].&amp;[12]"),0)</f>
        <v>0</v>
      </c>
      <c r="O23" s="11">
        <f t="shared" si="2"/>
        <v>0</v>
      </c>
      <c r="P23" s="12"/>
      <c r="Q23" s="12"/>
      <c r="R23" s="20">
        <f>ROUND(-IFERROR(GETPIVOTDATA("[Measures].[Jrnl Posting Am]",'[1]Historical Summary Cube'!$A$5,"[Accounting Period].[Fisc Yr]","[Accounting Period].[Fisc Yr].&amp;[2008]","[Revenue].[Rev Src]","[Revenue].[Rev Src].&amp;[2952]","[Revenue].[Rev Src Nm]","[Revenue].[Rev Src Nm].&amp;[ADJ TO PRIOR YEAR BAL/UNALLOCT]"),0),2)</f>
        <v>0</v>
      </c>
      <c r="S23" s="20">
        <f>-IFERROR(GETPIVOTDATA("[Measures].[Jrnl Posting Am]",'[1]Historical Summary Cube'!$A$5,"[Accounting Period].[Fisc Yr]","[Accounting Period].[Fisc Yr].&amp;[2009]","[Revenue].[Rev Src]","[Revenue].[Rev Src].&amp;[2952]","[Revenue].[Rev Src Nm]","[Revenue].[Rev Src Nm].&amp;[ADJ TO PRIOR YEAR BAL/UNALLOCT]"),0)</f>
        <v>0</v>
      </c>
      <c r="T23" s="20">
        <f>-IFERROR(GETPIVOTDATA("[Measures].[Jrnl Posting Am]",'[1]Historical Summary Cube'!$A$5,"[Accounting Period].[Fisc Yr]","[Accounting Period].[Fisc Yr].&amp;[2010]","[Revenue].[Rev Src]","[Revenue].[Rev Src].&amp;[2952]","[Revenue].[Rev Src Nm]","[Revenue].[Rev Src Nm].&amp;[ADJ TO PRIOR YEAR BAL/UNALLOCT]"),0)</f>
        <v>0</v>
      </c>
      <c r="U23" s="20">
        <f>-IFERROR(GETPIVOTDATA("[Measures].[Jrnl Posting Am]",'[1]Historical Summary Cube'!$A$5,"[Accounting Period].[Fisc Yr]","[Accounting Period].[Fisc Yr].&amp;[2011]","[Revenue].[Rev Src]","[Revenue].[Rev Src].&amp;[2952]","[Revenue].[Rev Src Nm]","[Revenue].[Rev Src Nm].&amp;[ADJ TO PRIOR YEAR BAL/UNALLOCT]"),0)</f>
        <v>0</v>
      </c>
      <c r="V23" s="20">
        <f>-IFERROR(GETPIVOTDATA("[Measures].[Jrnl Posting Am]",'[1]Historical Summary Cube'!$A$5,"[Accounting Period].[Fisc Yr]","[Accounting Period].[Fisc Yr].&amp;[2012]","[Revenue].[Rev Src]","[Revenue].[Rev Src].&amp;[2952]","[Revenue].[Rev Src Nm]","[Revenue].[Rev Src Nm].&amp;[ADJ TO PRIOR YEAR BAL/UNALLOCT]"),0)</f>
        <v>657.46999999976708</v>
      </c>
      <c r="W23" s="20">
        <f>-IFERROR(GETPIVOTDATA("[Measures].[Jrnl Posting Am]",'[1]Historical Summary Cube'!$A$5,"[Accounting Period].[Fisc Yr]","[Accounting Period].[Fisc Yr].&amp;[2013]","[Revenue].[Rev Src]","[Revenue].[Rev Src].&amp;[2952]","[Revenue].[Rev Src Nm]","[Revenue].[Rev Src Nm].&amp;[ADJ TO PRIOR YEAR BAL/UNALLOCT]"),0)</f>
        <v>0</v>
      </c>
      <c r="X23" s="20">
        <f>-IFERROR(GETPIVOTDATA("[Measures].[Jrnl Posting Am]",'[1]Historical Summary Cube'!$A$5,"[Accounting Period].[Fisc Yr]","[Accounting Period].[Fisc Yr].&amp;[2014]","[Revenue].[Rev Src]","[Revenue].[Rev Src].&amp;[2952]","[Revenue].[Rev Src Nm]","[Revenue].[Rev Src Nm].&amp;[ADJ TO PRIOR YEAR BAL/UNALLOCT]"),0)</f>
        <v>34.72</v>
      </c>
      <c r="Y23" s="20">
        <f>-IFERROR(GETPIVOTDATA("[Measures].[Jrnl Posting Am]",'[1]Historical Summary Cube'!$A$5,"[Accounting Period].[Fisc Yr]","[Accounting Period].[Fisc Yr].&amp;[2015]","[Revenue].[Rev Src]","[Revenue].[Rev Src].&amp;[2952]","[Revenue].[Rev Src Nm]","[Revenue].[Rev Src Nm].&amp;[ADJ TO PRIOR YEAR BAL/UNALLOCT]"),0)</f>
        <v>0</v>
      </c>
      <c r="Z23" s="20">
        <f>-IFERROR(GETPIVOTDATA("[Measures].[Jrnl Posting Am]",'[1]Historical Summary Cube'!$A$5,"[Accounting Period].[Fisc Yr]","[Accounting Period].[Fisc Yr].&amp;[2016]","[Revenue].[Rev Src]","[Revenue].[Rev Src].&amp;[2952]","[Revenue].[Rev Src Nm]","[Revenue].[Rev Src Nm].&amp;[ADJ TO PRIOR YEAR BAL/UNALLOCT]"),0)</f>
        <v>0</v>
      </c>
      <c r="AA23" s="20">
        <f>-IFERROR(GETPIVOTDATA("[Measures].[Jrnl Posting Am]",'[1]Historical Summary Cube'!$A$5,"[Accounting Period].[Fisc Yr]","[Accounting Period].[Fisc Yr].&amp;[2017]","[Revenue].[Rev Src]","[Revenue].[Rev Src].&amp;[2952]","[Revenue].[Rev Src Nm]","[Revenue].[Rev Src Nm].&amp;[ADJ TO PRIOR YEAR BAL/UNALLOCT]"),0)</f>
        <v>0</v>
      </c>
      <c r="AB23" s="20">
        <f>-IFERROR(GETPIVOTDATA("[Measures].[Jrnl Posting Am]",'[1]Historical Summary Cube'!$A$5,"[Accounting Period].[Fisc Yr]","[Accounting Period].[Fisc Yr].&amp;[2018]","[Revenue].[Rev Src]","[Revenue].[Rev Src].&amp;[2952]","[Revenue].[Rev Src Nm]","[Revenue].[Rev Src Nm].&amp;[ADJ TO PRIOR YEAR BAL/UNALLOCT]"),0)</f>
        <v>0</v>
      </c>
      <c r="AC23" s="20">
        <f>-IFERROR(GETPIVOTDATA("[Measures].[Jrnl Posting Am]",'[1]Historical Summary Cube'!$A$5,"[Accounting Period].[Fisc Yr]","[Accounting Period].[Fisc Yr].&amp;[2019]","[Revenue].[Rev Src]","[Revenue].[Rev Src].&amp;[2952]","[Revenue].[Rev Src Nm]","[Revenue].[Rev Src Nm].&amp;[ADJ TO PRIOR YEAR BAL/UNALLOCT]"),0)</f>
        <v>0</v>
      </c>
      <c r="AD23" s="20">
        <f>-IFERROR(GETPIVOTDATA("[Measures].[Jrnl Posting Am]",'[1]Historical Summary Cube'!$A$5,"[Accounting Period].[Fisc Yr]","[Accounting Period].[Fisc Yr].&amp;[2020]","[Revenue].[Rev Src]","[Revenue].[Rev Src].&amp;[2952]","[Revenue].[Rev Src Nm]","[Revenue].[Rev Src Nm].&amp;[ADJ TO PRIOR YEAR BAL/UNALLOCT]"),0)</f>
        <v>0</v>
      </c>
      <c r="AE23" s="20">
        <f>-IFERROR(GETPIVOTDATA("[Measures].[Jrnl Posting Am]",'[1]Historical Summary Cube'!$A$5,"[Accounting Period].[Fisc Yr]","[Accounting Period].[Fisc Yr].&amp;[2021]","[Revenue].[Rev Src]","[Revenue].[Rev Src].&amp;[2952]","[Revenue].[Rev Src Nm]","[Revenue].[Rev Src Nm].&amp;[ADJ TO PRIOR YEAR BAL/UNALLOCT]"),0)</f>
        <v>0</v>
      </c>
      <c r="AF23" s="20">
        <f>-IFERROR(GETPIVOTDATA("[Measures].[Jrnl Posting Am]",'[1]Historical Summary Cube'!$A$5,"[Accounting Period].[Fisc Yr]","[Accounting Period].[Fisc Yr].&amp;[2022]","[Revenue].[Rev Src]","[Revenue].[Rev Src].&amp;[2952]","[Revenue].[Rev Src Nm]","[Revenue].[Rev Src Nm].&amp;[ADJ TO PRIOR YEAR BAL/UNALLOCT]"),0)</f>
        <v>0</v>
      </c>
      <c r="AG23" s="20">
        <f>-IFERROR(GETPIVOTDATA("[Measures].[Jrnl Posting Am]",'[1]Historical Summary Cube'!$A$5,"[Accounting Period].[Fisc Yr]","[Accounting Period].[Fisc Yr].&amp;[2023]","[Revenue].[Rev Src]","[Revenue].[Rev Src].&amp;[2952]","[Revenue].[Rev Src Nm]","[Revenue].[Rev Src Nm].&amp;[ADJ TO PRIOR YEAR BAL/UNALLOCT]"),0)</f>
        <v>0</v>
      </c>
      <c r="AH23" s="20">
        <f>-IFERROR(GETPIVOTDATA("[Measures].[Jrnl Posting Am]",'[1]Historical Summary Cube'!$A$5,"[Accounting Period].[Fisc Yr]","[Accounting Period].[Fisc Yr].&amp;[2024]","[Revenue].[Rev Src]","[Revenue].[Rev Src].&amp;[2952]","[Revenue].[Rev Src Nm]","[Revenue].[Rev Src Nm].&amp;[ADJ TO PRIOR YEAR BAL/UNALLOCT]"),0)</f>
        <v>0</v>
      </c>
      <c r="AI23" s="11"/>
      <c r="AJ23" s="11"/>
    </row>
    <row r="24" spans="1:36" s="10" customFormat="1" ht="15.5" x14ac:dyDescent="0.35">
      <c r="A24" s="25" t="s">
        <v>29</v>
      </c>
      <c r="B24" s="10" t="s">
        <v>30</v>
      </c>
      <c r="C24" s="20">
        <v>0</v>
      </c>
      <c r="D24" s="20">
        <v>0</v>
      </c>
      <c r="E24" s="20">
        <v>0</v>
      </c>
      <c r="F24" s="20">
        <v>0</v>
      </c>
      <c r="G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Period].&amp;[5]"),0)</f>
        <v>0</v>
      </c>
      <c r="H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Period].&amp;[6]"),0)</f>
        <v>0</v>
      </c>
      <c r="I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Period].&amp;[7]"),0)</f>
        <v>0</v>
      </c>
      <c r="J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Period].&amp;[8]"),0)</f>
        <v>0</v>
      </c>
      <c r="K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Period].&amp;[9]"),0)</f>
        <v>0</v>
      </c>
      <c r="L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Period].&amp;[10]"),0)</f>
        <v>0</v>
      </c>
      <c r="M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Period].&amp;[11]"),0)</f>
        <v>0</v>
      </c>
      <c r="N24" s="20">
        <f>-IFERROR(GETPIVOTDATA("[Measures].[Jrnl Posting Am]",'[1]Historical Summary Cube'!$A$75,"[Revenue].[Rev Src]","[Revenue].[Rev Src].&amp;[2953]","[Revenue].[Rev Src Nm]","[Revenue].[Rev Src Nm].&amp;[ADJ OF ALL OTHER BALANCE FWD]","[Accounting Period].[Fisc Period]","[Accounting Period].[Fisc Period].&amp;[12]"),0)</f>
        <v>0</v>
      </c>
      <c r="O24" s="11">
        <f t="shared" si="2"/>
        <v>0</v>
      </c>
      <c r="P24" s="12"/>
      <c r="Q24" s="12"/>
      <c r="R24" s="20">
        <f>-IFERROR(GETPIVOTDATA("[Measures].[Jrnl Posting Am]",'[1]Historical Summary Cube'!$A$5,"[Accounting Period].[Fisc Yr]","[Accounting Period].[Fisc Yr].&amp;[2008]","[Revenue].[Rev Src]","[Revenue].[Rev Src].&amp;[2953]","[Revenue].[Rev Src Nm]","[Revenue].[Rev Src Nm].&amp;[ADJ OF ALL OTHER BALANCE FWD]"),0)</f>
        <v>8948.24</v>
      </c>
      <c r="S24" s="20">
        <f>-IFERROR(GETPIVOTDATA("[Measures].[Jrnl Posting Am]",'[1]Historical Summary Cube'!$A$5,"[Accounting Period].[Fisc Yr]","[Accounting Period].[Fisc Yr].&amp;[2009]","[Revenue].[Rev Src]","[Revenue].[Rev Src].&amp;[2953]","[Revenue].[Rev Src Nm]","[Revenue].[Rev Src Nm].&amp;[ADJ OF ALL OTHER BALANCE FWD]"),0)</f>
        <v>37094.32</v>
      </c>
      <c r="T24" s="20">
        <f>-IFERROR(GETPIVOTDATA("[Measures].[Jrnl Posting Am]",'[1]Historical Summary Cube'!$A$5,"[Accounting Period].[Fisc Yr]","[Accounting Period].[Fisc Yr].&amp;[2010]","[Revenue].[Rev Src]","[Revenue].[Rev Src].&amp;[2953]","[Revenue].[Rev Src Nm]","[Revenue].[Rev Src Nm].&amp;[ADJ OF ALL OTHER BALANCE FWD]"),0)</f>
        <v>-128.15</v>
      </c>
      <c r="U24" s="20">
        <f>-IFERROR(GETPIVOTDATA("[Measures].[Jrnl Posting Am]",'[1]Historical Summary Cube'!$A$5,"[Accounting Period].[Fisc Yr]","[Accounting Period].[Fisc Yr].&amp;[2011]","[Revenue].[Rev Src]","[Revenue].[Rev Src].&amp;[2953]","[Revenue].[Rev Src Nm]","[Revenue].[Rev Src Nm].&amp;[ADJ OF ALL OTHER BALANCE FWD]"),0)</f>
        <v>50691.049999999996</v>
      </c>
      <c r="V24" s="20">
        <f>-IFERROR(GETPIVOTDATA("[Measures].[Jrnl Posting Am]",'[1]Historical Summary Cube'!$A$5,"[Accounting Period].[Fisc Yr]","[Accounting Period].[Fisc Yr].&amp;[2012]","[Revenue].[Rev Src]","[Revenue].[Rev Src].&amp;[2953]","[Revenue].[Rev Src Nm]","[Revenue].[Rev Src Nm].&amp;[ADJ OF ALL OTHER BALANCE FWD]"),0)</f>
        <v>0</v>
      </c>
      <c r="W24" s="20">
        <f>-IFERROR(GETPIVOTDATA("[Measures].[Jrnl Posting Am]",'[1]Historical Summary Cube'!$A$5,"[Accounting Period].[Fisc Yr]","[Accounting Period].[Fisc Yr].&amp;[2013]","[Revenue].[Rev Src]","[Revenue].[Rev Src].&amp;[2953]","[Revenue].[Rev Src Nm]","[Revenue].[Rev Src Nm].&amp;[ADJ OF ALL OTHER BALANCE FWD]"),0)</f>
        <v>0</v>
      </c>
      <c r="X24" s="20">
        <f>-IFERROR(GETPIVOTDATA("[Measures].[Jrnl Posting Am]",'[1]Historical Summary Cube'!$A$5,"[Accounting Period].[Fisc Yr]","[Accounting Period].[Fisc Yr].&amp;[2014]","[Revenue].[Rev Src]","[Revenue].[Rev Src].&amp;[2953]","[Revenue].[Rev Src Nm]","[Revenue].[Rev Src Nm].&amp;[ADJ OF ALL OTHER BALANCE FWD]"),0)</f>
        <v>-6.9277916736609768E-14</v>
      </c>
      <c r="Y24" s="20">
        <f>-IFERROR(GETPIVOTDATA("[Measures].[Jrnl Posting Am]",'[1]Historical Summary Cube'!$A$5,"[Accounting Period].[Fisc Yr]","[Accounting Period].[Fisc Yr].&amp;[2015]","[Revenue].[Rev Src]","[Revenue].[Rev Src].&amp;[2953]","[Revenue].[Rev Src Nm]","[Revenue].[Rev Src Nm].&amp;[ADJ OF ALL OTHER BALANCE FWD]"),0)</f>
        <v>0</v>
      </c>
      <c r="Z24" s="20">
        <f>-IFERROR(GETPIVOTDATA("[Measures].[Jrnl Posting Am]",'[1]Historical Summary Cube'!$A$5,"[Accounting Period].[Fisc Yr]","[Accounting Period].[Fisc Yr].&amp;[2016]","[Revenue].[Rev Src]","[Revenue].[Rev Src].&amp;[2953]","[Revenue].[Rev Src Nm]","[Revenue].[Rev Src Nm].&amp;[ADJ OF ALL OTHER BALANCE FWD]"),0)</f>
        <v>-36.590000000000003</v>
      </c>
      <c r="AA24" s="20">
        <f>-IFERROR(GETPIVOTDATA("[Measures].[Jrnl Posting Am]",'[1]Historical Summary Cube'!$A$5,"[Accounting Period].[Fisc Yr]","[Accounting Period].[Fisc Yr].&amp;[2017]","[Revenue].[Rev Src]","[Revenue].[Rev Src].&amp;[2953]","[Revenue].[Rev Src Nm]","[Revenue].[Rev Src Nm].&amp;[ADJ OF ALL OTHER BALANCE FWD]"),0)</f>
        <v>638.14</v>
      </c>
      <c r="AB24" s="20">
        <f>-IFERROR(GETPIVOTDATA("[Measures].[Jrnl Posting Am]",'[1]Historical Summary Cube'!$A$5,"[Accounting Period].[Fisc Yr]","[Accounting Period].[Fisc Yr].&amp;[2018]","[Revenue].[Rev Src]","[Revenue].[Rev Src].&amp;[2953]","[Revenue].[Rev Src Nm]","[Revenue].[Rev Src Nm].&amp;[ADJ OF ALL OTHER BALANCE FWD]"),0)</f>
        <v>164600.45000000001</v>
      </c>
      <c r="AC24" s="20">
        <f>-IFERROR(GETPIVOTDATA("[Measures].[Jrnl Posting Am]",'[1]Historical Summary Cube'!$A$5,"[Accounting Period].[Fisc Yr]","[Accounting Period].[Fisc Yr].&amp;[2019]","[Revenue].[Rev Src]","[Revenue].[Rev Src].&amp;[2953]","[Revenue].[Rev Src Nm]","[Revenue].[Rev Src Nm].&amp;[ADJ OF ALL OTHER BALANCE FWD]"),0)</f>
        <v>0</v>
      </c>
      <c r="AD24" s="20">
        <f>-IFERROR(GETPIVOTDATA("[Measures].[Jrnl Posting Am]",'[1]Historical Summary Cube'!$A$5,"[Accounting Period].[Fisc Yr]","[Accounting Period].[Fisc Yr].&amp;[2020]","[Revenue].[Rev Src]","[Revenue].[Rev Src].&amp;[2953]","[Revenue].[Rev Src Nm]","[Revenue].[Rev Src Nm].&amp;[ADJ OF ALL OTHER BALANCE FWD]"),0)</f>
        <v>-373.33</v>
      </c>
      <c r="AE24" s="20">
        <f>-IFERROR(GETPIVOTDATA("[Measures].[Jrnl Posting Am]",'[1]Historical Summary Cube'!$A$5,"[Accounting Period].[Fisc Yr]","[Accounting Period].[Fisc Yr].&amp;[2021]","[Revenue].[Rev Src]","[Revenue].[Rev Src].&amp;[2953]","[Revenue].[Rev Src Nm]","[Revenue].[Rev Src Nm].&amp;[ADJ OF ALL OTHER BALANCE FWD]"),0)</f>
        <v>66.69</v>
      </c>
      <c r="AF24" s="20">
        <f>-IFERROR(GETPIVOTDATA("[Measures].[Jrnl Posting Am]",'[1]Historical Summary Cube'!$A$5,"[Accounting Period].[Fisc Yr]","[Accounting Period].[Fisc Yr].&amp;[2022]","[Revenue].[Rev Src]","[Revenue].[Rev Src].&amp;[2953]","[Revenue].[Rev Src Nm]","[Revenue].[Rev Src Nm].&amp;[ADJ OF ALL OTHER BALANCE FWD]"),0)</f>
        <v>50771.01</v>
      </c>
      <c r="AG24" s="20">
        <f>-IFERROR(GETPIVOTDATA("[Measures].[Jrnl Posting Am]",'[1]Historical Summary Cube'!$A$5,"[Accounting Period].[Fisc Yr]","[Accounting Period].[Fisc Yr].&amp;[2023]","[Revenue].[Rev Src]","[Revenue].[Rev Src].&amp;[2953]","[Revenue].[Rev Src Nm]","[Revenue].[Rev Src Nm].&amp;[ADJ OF ALL OTHER BALANCE FWD]"),0)</f>
        <v>185.12</v>
      </c>
      <c r="AH24" s="20">
        <f>-IFERROR(GETPIVOTDATA("[Measures].[Jrnl Posting Am]",'[1]Historical Summary Cube'!$A$5,"[Accounting Period].[Fisc Yr]","[Accounting Period].[Fisc Yr].&amp;[2024]","[Revenue].[Rev Src]","[Revenue].[Rev Src].&amp;[2953]","[Revenue].[Rev Src Nm]","[Revenue].[Rev Src Nm].&amp;[ADJ OF ALL OTHER BALANCE FWD]"),0)</f>
        <v>0</v>
      </c>
      <c r="AI24" s="11"/>
      <c r="AJ24" s="11"/>
    </row>
    <row r="25" spans="1:36" s="10" customFormat="1" ht="15.5" x14ac:dyDescent="0.35">
      <c r="A25" s="25">
        <v>2955</v>
      </c>
      <c r="B25" s="10" t="s">
        <v>31</v>
      </c>
      <c r="C25" s="20">
        <v>0</v>
      </c>
      <c r="D25" s="20">
        <v>0</v>
      </c>
      <c r="E25" s="20">
        <v>0</v>
      </c>
      <c r="F25" s="20">
        <v>0</v>
      </c>
      <c r="G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Period].&amp;[5]"),0)</f>
        <v>0</v>
      </c>
      <c r="H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Period].&amp;[6]"),0)</f>
        <v>0</v>
      </c>
      <c r="I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Period].&amp;[7]"),0)</f>
        <v>0</v>
      </c>
      <c r="J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Period].&amp;[8]"),0)</f>
        <v>0</v>
      </c>
      <c r="K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Period].&amp;[9]"),0)</f>
        <v>0</v>
      </c>
      <c r="L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Period].&amp;[10]"),0)</f>
        <v>0</v>
      </c>
      <c r="M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Period].&amp;[11]"),0)</f>
        <v>0</v>
      </c>
      <c r="N25" s="20">
        <f>-IFERROR(GETPIVOTDATA("[Measures].[Jrnl Posting Am]",'[1]Historical Summary Cube'!$A$75,"[Revenue].[Rev Src]","[Revenue].[Rev Src].&amp;[2955]","[Revenue].[Rev Src Nm]","[Revenue].[Rev Src Nm].&amp;[ADJ OF PERS SERV BALANCE FWD]","[Accounting Period].[Fisc Period]","[Accounting Period].[Fisc Period].&amp;[12]"),0)</f>
        <v>0</v>
      </c>
      <c r="O25" s="11">
        <f t="shared" si="2"/>
        <v>0</v>
      </c>
      <c r="P25" s="12"/>
      <c r="Q25" s="12"/>
      <c r="R25" s="20">
        <f>-IFERROR(GETPIVOTDATA("[Measures].[Jrnl Posting Am]",'[1]Historical Summary Cube'!$A$5,"[Accounting Period].[Fisc Yr]","[Accounting Period].[Fisc Yr].&amp;[2008]","[Revenue].[Rev Src]","[Revenue].[Rev Src].&amp;[2955]","[Revenue].[Rev Src Nm]","[Revenue].[Rev Src Nm].&amp;[ADJ OF PERS SERV BALANCE FWD]"),0)</f>
        <v>0</v>
      </c>
      <c r="S25" s="20">
        <f>-IFERROR(GETPIVOTDATA("[Measures].[Jrnl Posting Am]",'[1]Historical Summary Cube'!$A$5,"[Accounting Period].[Fisc Yr]","[Accounting Period].[Fisc Yr].&amp;[2009]","[Revenue].[Rev Src]","[Revenue].[Rev Src].&amp;[2955]","[Revenue].[Rev Src Nm]","[Revenue].[Rev Src Nm].&amp;[ADJ OF PERS SERV BALANCE FWD]"),0)</f>
        <v>0</v>
      </c>
      <c r="T25" s="20">
        <f>-IFERROR(GETPIVOTDATA("[Measures].[Jrnl Posting Am]",'[1]Historical Summary Cube'!$A$5,"[Accounting Period].[Fisc Yr]","[Accounting Period].[Fisc Yr].&amp;[2010]","[Revenue].[Rev Src]","[Revenue].[Rev Src].&amp;[2955]","[Revenue].[Rev Src Nm]","[Revenue].[Rev Src Nm].&amp;[ADJ OF PERS SERV BALANCE FWD]"),0)</f>
        <v>0</v>
      </c>
      <c r="U25" s="20">
        <f>-IFERROR(GETPIVOTDATA("[Measures].[Jrnl Posting Am]",'[1]Historical Summary Cube'!$A$5,"[Accounting Period].[Fisc Yr]","[Accounting Period].[Fisc Yr].&amp;[2011]","[Revenue].[Rev Src]","[Revenue].[Rev Src].&amp;[2955]","[Revenue].[Rev Src Nm]","[Revenue].[Rev Src Nm].&amp;[ADJ OF PERS SERV BALANCE FWD]"),0)</f>
        <v>0</v>
      </c>
      <c r="V25" s="20">
        <f>-IFERROR(GETPIVOTDATA("[Measures].[Jrnl Posting Am]",'[1]Historical Summary Cube'!$A$5,"[Accounting Period].[Fisc Yr]","[Accounting Period].[Fisc Yr].&amp;[2012]","[Revenue].[Rev Src]","[Revenue].[Rev Src].&amp;[2955]","[Revenue].[Rev Src Nm]","[Revenue].[Rev Src Nm].&amp;[ADJ OF PERS SERV BALANCE FWD]"),0)</f>
        <v>-43.63</v>
      </c>
      <c r="W25" s="20">
        <f>-IFERROR(GETPIVOTDATA("[Measures].[Jrnl Posting Am]",'[1]Historical Summary Cube'!$A$5,"[Accounting Period].[Fisc Yr]","[Accounting Period].[Fisc Yr].&amp;[2013]","[Revenue].[Rev Src]","[Revenue].[Rev Src].&amp;[2955]","[Revenue].[Rev Src Nm]","[Revenue].[Rev Src Nm].&amp;[ADJ OF PERS SERV BALANCE FWD]"),0)</f>
        <v>0</v>
      </c>
      <c r="X25" s="20">
        <f>-IFERROR(GETPIVOTDATA("[Measures].[Jrnl Posting Am]",'[1]Historical Summary Cube'!$A$5,"[Accounting Period].[Fisc Yr]","[Accounting Period].[Fisc Yr].&amp;[2014]","[Revenue].[Rev Src]","[Revenue].[Rev Src].&amp;[2955]","[Revenue].[Rev Src Nm]","[Revenue].[Rev Src Nm].&amp;[ADJ OF PERS SERV BALANCE FWD]"),0)</f>
        <v>0</v>
      </c>
      <c r="Y25" s="20">
        <f>-IFERROR(GETPIVOTDATA("[Measures].[Jrnl Posting Am]",'[1]Historical Summary Cube'!$A$5,"[Accounting Period].[Fisc Yr]","[Accounting Period].[Fisc Yr].&amp;[2015]","[Revenue].[Rev Src]","[Revenue].[Rev Src].&amp;[2955]","[Revenue].[Rev Src Nm]","[Revenue].[Rev Src Nm].&amp;[ADJ OF PERS SERV BALANCE FWD]"),0)</f>
        <v>0</v>
      </c>
      <c r="Z25" s="20">
        <f>-IFERROR(GETPIVOTDATA("[Measures].[Jrnl Posting Am]",'[1]Historical Summary Cube'!$A$5,"[Accounting Period].[Fisc Yr]","[Accounting Period].[Fisc Yr].&amp;[2016]","[Revenue].[Rev Src]","[Revenue].[Rev Src].&amp;[2955]","[Revenue].[Rev Src Nm]","[Revenue].[Rev Src Nm].&amp;[ADJ OF PERS SERV BALANCE FWD]"),0)</f>
        <v>0</v>
      </c>
      <c r="AA25" s="20">
        <f>-IFERROR(GETPIVOTDATA("[Measures].[Jrnl Posting Am]",'[1]Historical Summary Cube'!$A$5,"[Accounting Period].[Fisc Yr]","[Accounting Period].[Fisc Yr].&amp;[2017]","[Revenue].[Rev Src]","[Revenue].[Rev Src].&amp;[2955]","[Revenue].[Rev Src Nm]","[Revenue].[Rev Src Nm].&amp;[ADJ OF PERS SERV BALANCE FWD]"),0)</f>
        <v>0</v>
      </c>
      <c r="AB25" s="20">
        <f>-IFERROR(GETPIVOTDATA("[Measures].[Jrnl Posting Am]",'[1]Historical Summary Cube'!$A$5,"[Accounting Period].[Fisc Yr]","[Accounting Period].[Fisc Yr].&amp;[2018]","[Revenue].[Rev Src]","[Revenue].[Rev Src].&amp;[2955]","[Revenue].[Rev Src Nm]","[Revenue].[Rev Src Nm].&amp;[ADJ OF PERS SERV BALANCE FWD]"),0)</f>
        <v>0</v>
      </c>
      <c r="AC25" s="20">
        <f>-IFERROR(GETPIVOTDATA("[Measures].[Jrnl Posting Am]",'[1]Historical Summary Cube'!$A$5,"[Accounting Period].[Fisc Yr]","[Accounting Period].[Fisc Yr].&amp;[2019]","[Revenue].[Rev Src]","[Revenue].[Rev Src].&amp;[2955]","[Revenue].[Rev Src Nm]","[Revenue].[Rev Src Nm].&amp;[ADJ OF PERS SERV BALANCE FWD]"),0)</f>
        <v>0</v>
      </c>
      <c r="AD25" s="20">
        <f>-IFERROR(GETPIVOTDATA("[Measures].[Jrnl Posting Am]",'[1]Historical Summary Cube'!$A$5,"[Accounting Period].[Fisc Yr]","[Accounting Period].[Fisc Yr].&amp;[2020]","[Revenue].[Rev Src]","[Revenue].[Rev Src].&amp;[2955]","[Revenue].[Rev Src Nm]","[Revenue].[Rev Src Nm].&amp;[ADJ OF PERS SERV BALANCE FWD]"),0)</f>
        <v>0</v>
      </c>
      <c r="AE25" s="20">
        <f>-IFERROR(GETPIVOTDATA("[Measures].[Jrnl Posting Am]",'[1]Historical Summary Cube'!$A$5,"[Accounting Period].[Fisc Yr]","[Accounting Period].[Fisc Yr].&amp;[2021]","[Revenue].[Rev Src]","[Revenue].[Rev Src].&amp;[2955]","[Revenue].[Rev Src Nm]","[Revenue].[Rev Src Nm].&amp;[ADJ OF PERS SERV BALANCE FWD]"),0)</f>
        <v>0</v>
      </c>
      <c r="AF25" s="20">
        <f>-IFERROR(GETPIVOTDATA("[Measures].[Jrnl Posting Am]",'[1]Historical Summary Cube'!$A$5,"[Accounting Period].[Fisc Yr]","[Accounting Period].[Fisc Yr].&amp;[2022]","[Revenue].[Rev Src]","[Revenue].[Rev Src].&amp;[2955]","[Revenue].[Rev Src Nm]","[Revenue].[Rev Src Nm].&amp;[ADJ OF PERS SERV BALANCE FWD]"),0)</f>
        <v>0</v>
      </c>
      <c r="AG25" s="20">
        <f>-IFERROR(GETPIVOTDATA("[Measures].[Jrnl Posting Am]",'[1]Historical Summary Cube'!$A$5,"[Accounting Period].[Fisc Yr]","[Accounting Period].[Fisc Yr].&amp;[2023]","[Revenue].[Rev Src]","[Revenue].[Rev Src].&amp;[2955]","[Revenue].[Rev Src Nm]","[Revenue].[Rev Src Nm].&amp;[ADJ OF PERS SERV BALANCE FWD]"),0)</f>
        <v>0</v>
      </c>
      <c r="AH25" s="20">
        <f>-IFERROR(GETPIVOTDATA("[Measures].[Jrnl Posting Am]",'[1]Historical Summary Cube'!$A$5,"[Accounting Period].[Fisc Yr]","[Accounting Period].[Fisc Yr].&amp;[2024]","[Revenue].[Rev Src]","[Revenue].[Rev Src].&amp;[2955]","[Revenue].[Rev Src Nm]","[Revenue].[Rev Src Nm].&amp;[ADJ OF PERS SERV BALANCE FWD]"),0)</f>
        <v>0</v>
      </c>
      <c r="AI25" s="11"/>
      <c r="AJ25" s="11"/>
    </row>
    <row r="26" spans="1:36" s="10" customFormat="1" ht="15.5" x14ac:dyDescent="0.35">
      <c r="A26" s="25" t="s">
        <v>32</v>
      </c>
      <c r="B26" s="10" t="s">
        <v>33</v>
      </c>
      <c r="C26" s="20">
        <v>0</v>
      </c>
      <c r="D26" s="20">
        <v>0</v>
      </c>
      <c r="E26" s="20">
        <v>0</v>
      </c>
      <c r="F26" s="20">
        <v>0</v>
      </c>
      <c r="G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Period].&amp;[5]"),0)</f>
        <v>0</v>
      </c>
      <c r="H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Period].&amp;[6]"),0)</f>
        <v>0</v>
      </c>
      <c r="I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Period].&amp;[7]"),0)</f>
        <v>0</v>
      </c>
      <c r="J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Period].&amp;[8]"),0)</f>
        <v>0</v>
      </c>
      <c r="K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Period].&amp;[9]"),0)</f>
        <v>0</v>
      </c>
      <c r="L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Period].&amp;[10]"),0)</f>
        <v>0</v>
      </c>
      <c r="M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Period].&amp;[11]"),0)</f>
        <v>0</v>
      </c>
      <c r="N26" s="20">
        <f>-IFERROR(GETPIVOTDATA("[Measures].[Jrnl Posting Am]",'[1]Historical Summary Cube'!$A$75,"[Revenue].[Rev Src]","[Revenue].[Rev Src].&amp;[2968]","[Revenue].[Rev Src Nm]","[Revenue].[Rev Src Nm].&amp;[REG TRANSFER UNALLOCATED]","[Accounting Period].[Fisc Period]","[Accounting Period].[Fisc Period].&amp;[12]"),0)</f>
        <v>0</v>
      </c>
      <c r="O26" s="11">
        <f t="shared" si="2"/>
        <v>0</v>
      </c>
      <c r="P26" s="12"/>
      <c r="Q26" s="12"/>
      <c r="R26" s="20">
        <f>-IFERROR(GETPIVOTDATA("[Measures].[Jrnl Posting Am]",'[1]Historical Summary Cube'!$A$5,"[Accounting Period].[Fisc Yr]","[Accounting Period].[Fisc Yr].&amp;[2008]","[Revenue].[Rev Src]","[Revenue].[Rev Src].&amp;[2968]","[Revenue].[Rev Src Nm]","[Revenue].[Rev Src Nm].&amp;[REG TRANSFER UNALLOCATED]"),0)</f>
        <v>0</v>
      </c>
      <c r="S26" s="20">
        <f>-IFERROR(GETPIVOTDATA("[Measures].[Jrnl Posting Am]",'[1]Historical Summary Cube'!$A$5,"[Accounting Period].[Fisc Yr]","[Accounting Period].[Fisc Yr].&amp;[2009]","[Revenue].[Rev Src]","[Revenue].[Rev Src].&amp;[2968]","[Revenue].[Rev Src Nm]","[Revenue].[Rev Src Nm].&amp;[REG TRANSFER UNALLOCATED]"),0)</f>
        <v>0</v>
      </c>
      <c r="T26" s="20">
        <f>-IFERROR(GETPIVOTDATA("[Measures].[Jrnl Posting Am]",'[1]Historical Summary Cube'!$A$5,"[Accounting Period].[Fisc Yr]","[Accounting Period].[Fisc Yr].&amp;[2010]","[Revenue].[Rev Src]","[Revenue].[Rev Src].&amp;[2968]","[Revenue].[Rev Src Nm]","[Revenue].[Rev Src Nm].&amp;[REG TRANSFER UNALLOCATED]"),0)</f>
        <v>0</v>
      </c>
      <c r="U26" s="20">
        <f>-IFERROR(GETPIVOTDATA("[Measures].[Jrnl Posting Am]",'[1]Historical Summary Cube'!$A$5,"[Accounting Period].[Fisc Yr]","[Accounting Period].[Fisc Yr].&amp;[2011]","[Revenue].[Rev Src]","[Revenue].[Rev Src].&amp;[2968]","[Revenue].[Rev Src Nm]","[Revenue].[Rev Src Nm].&amp;[REG TRANSFER UNALLOCATED]"),0)</f>
        <v>0</v>
      </c>
      <c r="V26" s="20">
        <f>-IFERROR(GETPIVOTDATA("[Measures].[Jrnl Posting Am]",'[1]Historical Summary Cube'!$A$5,"[Accounting Period].[Fisc Yr]","[Accounting Period].[Fisc Yr].&amp;[2012]","[Revenue].[Rev Src]","[Revenue].[Rev Src].&amp;[2968]","[Revenue].[Rev Src Nm]","[Revenue].[Rev Src Nm].&amp;[REG TRANSFER UNALLOCATED]"),0)</f>
        <v>-200000</v>
      </c>
      <c r="W26" s="20">
        <f>-IFERROR(GETPIVOTDATA("[Measures].[Jrnl Posting Am]",'[1]Historical Summary Cube'!$A$5,"[Accounting Period].[Fisc Yr]","[Accounting Period].[Fisc Yr].&amp;[2013]","[Revenue].[Rev Src]","[Revenue].[Rev Src].&amp;[2968]","[Revenue].[Rev Src Nm]","[Revenue].[Rev Src Nm].&amp;[REG TRANSFER UNALLOCATED]"),0)</f>
        <v>0</v>
      </c>
      <c r="X26" s="20">
        <f>-IFERROR(GETPIVOTDATA("[Measures].[Jrnl Posting Am]",'[1]Historical Summary Cube'!$A$5,"[Accounting Period].[Fisc Yr]","[Accounting Period].[Fisc Yr].&amp;[2014]","[Revenue].[Rev Src]","[Revenue].[Rev Src].&amp;[2968]","[Revenue].[Rev Src Nm]","[Revenue].[Rev Src Nm].&amp;[REG TRANSFER UNALLOCATED]"),0)</f>
        <v>-100000</v>
      </c>
      <c r="Y26" s="20">
        <f>-IFERROR(GETPIVOTDATA("[Measures].[Jrnl Posting Am]",'[1]Historical Summary Cube'!$A$5,"[Accounting Period].[Fisc Yr]","[Accounting Period].[Fisc Yr].&amp;[2015]","[Revenue].[Rev Src]","[Revenue].[Rev Src].&amp;[2968]","[Revenue].[Rev Src Nm]","[Revenue].[Rev Src Nm].&amp;[REG TRANSFER UNALLOCATED]"),0)</f>
        <v>0</v>
      </c>
      <c r="Z26" s="20">
        <f>-IFERROR(GETPIVOTDATA("[Measures].[Jrnl Posting Am]",'[1]Historical Summary Cube'!$A$5,"[Accounting Period].[Fisc Yr]","[Accounting Period].[Fisc Yr].&amp;[2016]","[Revenue].[Rev Src]","[Revenue].[Rev Src].&amp;[2968]","[Revenue].[Rev Src Nm]","[Revenue].[Rev Src Nm].&amp;[REG TRANSFER UNALLOCATED]"),0)</f>
        <v>0</v>
      </c>
      <c r="AA26" s="20">
        <f>-IFERROR(GETPIVOTDATA("[Measures].[Jrnl Posting Am]",'[1]Historical Summary Cube'!$A$5,"[Accounting Period].[Fisc Yr]","[Accounting Period].[Fisc Yr].&amp;[2017]","[Revenue].[Rev Src]","[Revenue].[Rev Src].&amp;[2968]","[Revenue].[Rev Src Nm]","[Revenue].[Rev Src Nm].&amp;[REG TRANSFER UNALLOCATED]"),0)</f>
        <v>0</v>
      </c>
      <c r="AB26" s="20">
        <f>-IFERROR(GETPIVOTDATA("[Measures].[Jrnl Posting Am]",'[1]Historical Summary Cube'!$A$5,"[Accounting Period].[Fisc Yr]","[Accounting Period].[Fisc Yr].&amp;[2018]","[Revenue].[Rev Src]","[Revenue].[Rev Src].&amp;[2968]","[Revenue].[Rev Src Nm]","[Revenue].[Rev Src Nm].&amp;[REG TRANSFER UNALLOCATED]"),0)</f>
        <v>0</v>
      </c>
      <c r="AC26" s="20">
        <f>-IFERROR(GETPIVOTDATA("[Measures].[Jrnl Posting Am]",'[1]Historical Summary Cube'!$A$5,"[Accounting Period].[Fisc Yr]","[Accounting Period].[Fisc Yr].&amp;[2019]","[Revenue].[Rev Src]","[Revenue].[Rev Src].&amp;[2968]","[Revenue].[Rev Src Nm]","[Revenue].[Rev Src Nm].&amp;[REG TRANSFER UNALLOCATED]"),0)</f>
        <v>0</v>
      </c>
      <c r="AD26" s="20">
        <f>-IFERROR(GETPIVOTDATA("[Measures].[Jrnl Posting Am]",'[1]Historical Summary Cube'!$A$5,"[Accounting Period].[Fisc Yr]","[Accounting Period].[Fisc Yr].&amp;[2020]","[Revenue].[Rev Src]","[Revenue].[Rev Src].&amp;[2968]","[Revenue].[Rev Src Nm]","[Revenue].[Rev Src Nm].&amp;[REG TRANSFER UNALLOCATED]"),0)</f>
        <v>-100000</v>
      </c>
      <c r="AE26" s="20">
        <f>-IFERROR(GETPIVOTDATA("[Measures].[Jrnl Posting Am]",'[1]Historical Summary Cube'!$A$5,"[Accounting Period].[Fisc Yr]","[Accounting Period].[Fisc Yr].&amp;[2021]","[Revenue].[Rev Src]","[Revenue].[Rev Src].&amp;[2968]","[Revenue].[Rev Src Nm]","[Revenue].[Rev Src Nm].&amp;[REG TRANSFER UNALLOCATED]"),0)</f>
        <v>-50000</v>
      </c>
      <c r="AF26" s="20">
        <f>-IFERROR(GETPIVOTDATA("[Measures].[Jrnl Posting Am]",'[1]Historical Summary Cube'!$A$5,"[Accounting Period].[Fisc Yr]","[Accounting Period].[Fisc Yr].&amp;[2022]","[Revenue].[Rev Src]","[Revenue].[Rev Src].&amp;[2968]","[Revenue].[Rev Src Nm]","[Revenue].[Rev Src Nm].&amp;[REG TRANSFER UNALLOCATED]"),0)</f>
        <v>-50000</v>
      </c>
      <c r="AG26" s="20">
        <f>-IFERROR(GETPIVOTDATA("[Measures].[Jrnl Posting Am]",'[1]Historical Summary Cube'!$A$5,"[Accounting Period].[Fisc Yr]","[Accounting Period].[Fisc Yr].&amp;[2023]","[Revenue].[Rev Src]","[Revenue].[Rev Src].&amp;[2968]","[Revenue].[Rev Src Nm]","[Revenue].[Rev Src Nm].&amp;[REG TRANSFER UNALLOCATED]"),0)</f>
        <v>-25000</v>
      </c>
      <c r="AH26" s="20">
        <f>-IFERROR(GETPIVOTDATA("[Measures].[Jrnl Posting Am]",'[1]Historical Summary Cube'!$A$5,"[Accounting Period].[Fisc Yr]","[Accounting Period].[Fisc Yr].&amp;[2024]","[Revenue].[Rev Src]","[Revenue].[Rev Src].&amp;[2968]","[Revenue].[Rev Src Nm]","[Revenue].[Rev Src Nm].&amp;[REG TRANSFER UNALLOCATED]"),0)</f>
        <v>0</v>
      </c>
      <c r="AI26" s="11"/>
      <c r="AJ26" s="11"/>
    </row>
    <row r="27" spans="1:36" s="10" customFormat="1" ht="15.5" x14ac:dyDescent="0.35">
      <c r="A27" s="25" t="s">
        <v>34</v>
      </c>
      <c r="B27" s="10" t="s">
        <v>35</v>
      </c>
      <c r="C27" s="20">
        <v>-19233.059999999998</v>
      </c>
      <c r="D27" s="20">
        <v>-15648.45</v>
      </c>
      <c r="E27" s="20">
        <v>-24421.5</v>
      </c>
      <c r="F27" s="20">
        <v>0</v>
      </c>
      <c r="G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Period].&amp;[5]"),0)</f>
        <v>0</v>
      </c>
      <c r="H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Period].&amp;[6]"),0)</f>
        <v>0</v>
      </c>
      <c r="I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Period].&amp;[7]"),0)</f>
        <v>0</v>
      </c>
      <c r="J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Period].&amp;[8]"),0)</f>
        <v>0</v>
      </c>
      <c r="K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Period].&amp;[9]"),0)</f>
        <v>0</v>
      </c>
      <c r="L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Period].&amp;[10]"),0)</f>
        <v>0</v>
      </c>
      <c r="M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Period].&amp;[11]"),0)</f>
        <v>0</v>
      </c>
      <c r="N27" s="20">
        <f>-IFERROR(GETPIVOTDATA("[Measures].[Jrnl Posting Am]",'[1]Historical Summary Cube'!$A$75,"[Revenue].[Rev Src]","[Revenue].[Rev Src].&amp;[2978]","[Revenue].[Rev Src Nm]","[Revenue].[Rev Src Nm].&amp;[DICAP TRANSFER]","[Accounting Period].[Fisc Period]","[Accounting Period].[Fisc Period].&amp;[12]"),0)</f>
        <v>0</v>
      </c>
      <c r="O27" s="11">
        <f t="shared" si="2"/>
        <v>-59303.009999999995</v>
      </c>
      <c r="P27" s="12"/>
      <c r="Q27" s="12"/>
      <c r="R27" s="20">
        <f>-IFERROR(GETPIVOTDATA("[Measures].[Jrnl Posting Am]",'[1]Historical Summary Cube'!$A$5,"[Accounting Period].[Fisc Yr]","[Accounting Period].[Fisc Yr].&amp;[2008]","[Revenue].[Rev Src]","[Revenue].[Rev Src].&amp;[2978]","[Revenue].[Rev Src Nm]","[Revenue].[Rev Src Nm].&amp;[DICAP TRANSFER]"),0)</f>
        <v>-150899.91999999998</v>
      </c>
      <c r="S27" s="20">
        <f>-IFERROR(GETPIVOTDATA("[Measures].[Jrnl Posting Am]",'[1]Historical Summary Cube'!$A$5,"[Accounting Period].[Fisc Yr]","[Accounting Period].[Fisc Yr].&amp;[2009]","[Revenue].[Rev Src]","[Revenue].[Rev Src].&amp;[2978]","[Revenue].[Rev Src Nm]","[Revenue].[Rev Src Nm].&amp;[DICAP TRANSFER]"),0)</f>
        <v>-230246.40000000002</v>
      </c>
      <c r="T27" s="20">
        <f>-IFERROR(GETPIVOTDATA("[Measures].[Jrnl Posting Am]",'[1]Historical Summary Cube'!$A$5,"[Accounting Period].[Fisc Yr]","[Accounting Period].[Fisc Yr].&amp;[2010]","[Revenue].[Rev Src]","[Revenue].[Rev Src].&amp;[2978]","[Revenue].[Rev Src Nm]","[Revenue].[Rev Src Nm].&amp;[DICAP TRANSFER]"),0)</f>
        <v>-245149.5</v>
      </c>
      <c r="U27" s="20">
        <f>-IFERROR(GETPIVOTDATA("[Measures].[Jrnl Posting Am]",'[1]Historical Summary Cube'!$A$5,"[Accounting Period].[Fisc Yr]","[Accounting Period].[Fisc Yr].&amp;[2011]","[Revenue].[Rev Src]","[Revenue].[Rev Src].&amp;[2978]","[Revenue].[Rev Src Nm]","[Revenue].[Rev Src Nm].&amp;[DICAP TRANSFER]"),0)</f>
        <v>-319381.28000000003</v>
      </c>
      <c r="V27" s="20">
        <f>-IFERROR(GETPIVOTDATA("[Measures].[Jrnl Posting Am]",'[1]Historical Summary Cube'!$A$5,"[Accounting Period].[Fisc Yr]","[Accounting Period].[Fisc Yr].&amp;[2012]","[Revenue].[Rev Src]","[Revenue].[Rev Src].&amp;[2978]","[Revenue].[Rev Src Nm]","[Revenue].[Rev Src Nm].&amp;[DICAP TRANSFER]"),0)</f>
        <v>-333135.93000000005</v>
      </c>
      <c r="W27" s="20">
        <f>-IFERROR(GETPIVOTDATA("[Measures].[Jrnl Posting Am]",'[1]Historical Summary Cube'!$A$5,"[Accounting Period].[Fisc Yr]","[Accounting Period].[Fisc Yr].&amp;[2013]","[Revenue].[Rev Src]","[Revenue].[Rev Src].&amp;[2978]","[Revenue].[Rev Src Nm]","[Revenue].[Rev Src Nm].&amp;[DICAP TRANSFER]"),0)</f>
        <v>-329586.66999999993</v>
      </c>
      <c r="X27" s="20">
        <f>-IFERROR(GETPIVOTDATA("[Measures].[Jrnl Posting Am]",'[1]Historical Summary Cube'!$A$5,"[Accounting Period].[Fisc Yr]","[Accounting Period].[Fisc Yr].&amp;[2014]","[Revenue].[Rev Src]","[Revenue].[Rev Src].&amp;[2978]","[Revenue].[Rev Src Nm]","[Revenue].[Rev Src Nm].&amp;[DICAP TRANSFER]"),0)</f>
        <v>-164238.47</v>
      </c>
      <c r="Y27" s="20">
        <f>-IFERROR(GETPIVOTDATA("[Measures].[Jrnl Posting Am]",'[1]Historical Summary Cube'!$A$5,"[Accounting Period].[Fisc Yr]","[Accounting Period].[Fisc Yr].&amp;[2015]","[Revenue].[Rev Src]","[Revenue].[Rev Src].&amp;[2978]","[Revenue].[Rev Src Nm]","[Revenue].[Rev Src Nm].&amp;[DICAP TRANSFER]"),0)</f>
        <v>-171943.49</v>
      </c>
      <c r="Z27" s="20">
        <f>-IFERROR(GETPIVOTDATA("[Measures].[Jrnl Posting Am]",'[1]Historical Summary Cube'!$A$5,"[Accounting Period].[Fisc Yr]","[Accounting Period].[Fisc Yr].&amp;[2016]","[Revenue].[Rev Src]","[Revenue].[Rev Src].&amp;[2978]","[Revenue].[Rev Src Nm]","[Revenue].[Rev Src Nm].&amp;[DICAP TRANSFER]"),0)</f>
        <v>-228194.78</v>
      </c>
      <c r="AA27" s="20">
        <f>-IFERROR(GETPIVOTDATA("[Measures].[Jrnl Posting Am]",'[1]Historical Summary Cube'!$A$5,"[Accounting Period].[Fisc Yr]","[Accounting Period].[Fisc Yr].&amp;[2017]","[Revenue].[Rev Src]","[Revenue].[Rev Src].&amp;[2978]","[Revenue].[Rev Src Nm]","[Revenue].[Rev Src Nm].&amp;[DICAP TRANSFER]"),0)</f>
        <v>-259149.46000000002</v>
      </c>
      <c r="AB27" s="20">
        <f>-IFERROR(GETPIVOTDATA("[Measures].[Jrnl Posting Am]",'[1]Historical Summary Cube'!$A$5,"[Accounting Period].[Fisc Yr]","[Accounting Period].[Fisc Yr].&amp;[2018]","[Revenue].[Rev Src]","[Revenue].[Rev Src].&amp;[2978]","[Revenue].[Rev Src Nm]","[Revenue].[Rev Src Nm].&amp;[DICAP TRANSFER]"),0)</f>
        <v>-197385.44</v>
      </c>
      <c r="AC27" s="20">
        <f>-IFERROR(GETPIVOTDATA("[Measures].[Jrnl Posting Am]",'[1]Historical Summary Cube'!$A$5,"[Accounting Period].[Fisc Yr]","[Accounting Period].[Fisc Yr].&amp;[2019]","[Revenue].[Rev Src]","[Revenue].[Rev Src].&amp;[2978]","[Revenue].[Rev Src Nm]","[Revenue].[Rev Src Nm].&amp;[DICAP TRANSFER]"),0)</f>
        <v>-226588.59000000003</v>
      </c>
      <c r="AD27" s="20">
        <f>-IFERROR(GETPIVOTDATA("[Measures].[Jrnl Posting Am]",'[1]Historical Summary Cube'!$A$5,"[Accounting Period].[Fisc Yr]","[Accounting Period].[Fisc Yr].&amp;[2020]","[Revenue].[Rev Src]","[Revenue].[Rev Src].&amp;[2978]","[Revenue].[Rev Src Nm]","[Revenue].[Rev Src Nm].&amp;[DICAP TRANSFER]"),0)</f>
        <v>-218438.04</v>
      </c>
      <c r="AE27" s="20">
        <f>-IFERROR(GETPIVOTDATA("[Measures].[Jrnl Posting Am]",'[1]Historical Summary Cube'!$A$5,"[Accounting Period].[Fisc Yr]","[Accounting Period].[Fisc Yr].&amp;[2021]","[Revenue].[Rev Src]","[Revenue].[Rev Src].&amp;[2978]","[Revenue].[Rev Src Nm]","[Revenue].[Rev Src Nm].&amp;[DICAP TRANSFER]"),0)</f>
        <v>-227565.83999999997</v>
      </c>
      <c r="AF27" s="20">
        <f>-IFERROR(GETPIVOTDATA("[Measures].[Jrnl Posting Am]",'[1]Historical Summary Cube'!$A$5,"[Accounting Period].[Fisc Yr]","[Accounting Period].[Fisc Yr].&amp;[2022]","[Revenue].[Rev Src]","[Revenue].[Rev Src].&amp;[2978]","[Revenue].[Rev Src Nm]","[Revenue].[Rev Src Nm].&amp;[DICAP TRANSFER]"),0)</f>
        <v>-242700.13999999996</v>
      </c>
      <c r="AG27" s="20">
        <f>-IFERROR(GETPIVOTDATA("[Measures].[Jrnl Posting Am]",'[1]Historical Summary Cube'!$A$5,"[Accounting Period].[Fisc Yr]","[Accounting Period].[Fisc Yr].&amp;[2023]","[Revenue].[Rev Src]","[Revenue].[Rev Src].&amp;[2978]","[Revenue].[Rev Src Nm]","[Revenue].[Rev Src Nm].&amp;[DICAP TRANSFER]"),0)</f>
        <v>-245212.31999999998</v>
      </c>
      <c r="AH27" s="20">
        <f>-IFERROR(GETPIVOTDATA("[Measures].[Jrnl Posting Am]",'[1]Historical Summary Cube'!$A$5,"[Accounting Period].[Fisc Yr]","[Accounting Period].[Fisc Yr].&amp;[2024]","[Revenue].[Rev Src]","[Revenue].[Rev Src].&amp;[2978]","[Revenue].[Rev Src Nm]","[Revenue].[Rev Src Nm].&amp;[DICAP TRANSFER]"),0)</f>
        <v>-59303.009999999995</v>
      </c>
      <c r="AI27" s="11"/>
      <c r="AJ27" s="11"/>
    </row>
    <row r="28" spans="1:36" s="10" customFormat="1" ht="15.5" x14ac:dyDescent="0.35">
      <c r="A28" s="25" t="s">
        <v>36</v>
      </c>
      <c r="B28" s="10" t="s">
        <v>37</v>
      </c>
      <c r="C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Period].&amp;[1]"),0)</f>
        <v>0</v>
      </c>
      <c r="D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Period].&amp;[2]"),0)</f>
        <v>0</v>
      </c>
      <c r="E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Period].&amp;[3]"),0)</f>
        <v>0</v>
      </c>
      <c r="F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Period].&amp;[4]"),0)</f>
        <v>0</v>
      </c>
      <c r="G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Period].&amp;[5]"),0)</f>
        <v>0</v>
      </c>
      <c r="H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Period].&amp;[6]"),0)</f>
        <v>0</v>
      </c>
      <c r="I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Period].&amp;[7]"),0)</f>
        <v>0</v>
      </c>
      <c r="J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Period].&amp;[8]"),0)</f>
        <v>0</v>
      </c>
      <c r="K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Period].&amp;[9]"),0)</f>
        <v>0</v>
      </c>
      <c r="L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Period].&amp;[10]"),0)</f>
        <v>0</v>
      </c>
      <c r="M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Period].&amp;[11]"),0)</f>
        <v>0</v>
      </c>
      <c r="N28" s="20">
        <f>-IFERROR(GETPIVOTDATA("[Measures].[Jrnl Posting Am]",'[1]Historical Summary Cube'!$A$75,"[Revenue].[Rev Src]","[Revenue].[Rev Src].&amp;[2979]","[Revenue].[Rev Src Nm]","[Revenue].[Rev Src Nm].&amp;[TRANSFER OF INDIRECT COST]","[Accounting Period].[Fisc Period]","[Accounting Period].[Fisc Period].&amp;[12]"),0)</f>
        <v>0</v>
      </c>
      <c r="O28" s="11">
        <f t="shared" si="2"/>
        <v>0</v>
      </c>
      <c r="P28" s="12"/>
      <c r="Q28" s="12"/>
      <c r="R28" s="20">
        <f>-IFERROR(GETPIVOTDATA("[Measures].[Jrnl Posting Am]",'[1]Historical Summary Cube'!$A$5,"[Accounting Period].[Fisc Yr]","[Accounting Period].[Fisc Yr].&amp;[2008]","[Revenue].[Rev Src]","[Revenue].[Rev Src].&amp;[2979]","[Revenue].[Rev Src Nm]","[Revenue].[Rev Src Nm].&amp;[TRANSFER FOR INDIRECT COST]"),0)</f>
        <v>3.04</v>
      </c>
      <c r="S28" s="20">
        <f>-IFERROR(GETPIVOTDATA("[Measures].[Jrnl Posting Am]",'[1]Historical Summary Cube'!$A$5,"[Accounting Period].[Fisc Yr]","[Accounting Period].[Fisc Yr].&amp;[2009]","[Revenue].[Rev Src]","[Revenue].[Rev Src].&amp;[2979]","[Revenue].[Rev Src Nm]","[Revenue].[Rev Src Nm].&amp;[TRANSFER FOR INDIRECT COST]"),0)</f>
        <v>0</v>
      </c>
      <c r="T28" s="20">
        <f>-IFERROR(GETPIVOTDATA("[Measures].[Jrnl Posting Am]",'[1]Historical Summary Cube'!$A$5,"[Accounting Period].[Fisc Yr]","[Accounting Period].[Fisc Yr].&amp;[2010]","[Revenue].[Rev Src]","[Revenue].[Rev Src].&amp;[2979]","[Revenue].[Rev Src Nm]","[Revenue].[Rev Src Nm].&amp;[TRANSFER FOR INDIRECT COST]"),0)</f>
        <v>0</v>
      </c>
      <c r="U28" s="20">
        <f>-IFERROR(GETPIVOTDATA("[Measures].[Jrnl Posting Am]",'[1]Historical Summary Cube'!$A$5,"[Accounting Period].[Fisc Yr]","[Accounting Period].[Fisc Yr].&amp;[2011]","[Revenue].[Rev Src]","[Revenue].[Rev Src].&amp;[2979]","[Revenue].[Rev Src Nm]","[Revenue].[Rev Src Nm].&amp;[TRANSFER FOR INDIRECT COST]"),0)</f>
        <v>0</v>
      </c>
      <c r="V28" s="20">
        <f>-IFERROR(GETPIVOTDATA("[Measures].[Jrnl Posting Am]",'[1]Historical Summary Cube'!$A$5,"[Accounting Period].[Fisc Yr]","[Accounting Period].[Fisc Yr].&amp;[2012]","[Revenue].[Rev Src]","[Revenue].[Rev Src].&amp;[2979]","[Revenue].[Rev Src Nm]","[Revenue].[Rev Src Nm].&amp;[TRANSFER FOR INDIRECT COST]"),0)</f>
        <v>0</v>
      </c>
      <c r="W28" s="20">
        <f>-IFERROR(GETPIVOTDATA("[Measures].[Jrnl Posting Am]",'[1]Historical Summary Cube'!$A$5,"[Accounting Period].[Fisc Yr]","[Accounting Period].[Fisc Yr].&amp;[2013]","[Revenue].[Rev Src]","[Revenue].[Rev Src].&amp;[2979]","[Revenue].[Rev Src Nm]","[Revenue].[Rev Src Nm].&amp;[TRANSFER FOR INDIRECT COST]"),0)</f>
        <v>0</v>
      </c>
      <c r="X28" s="20">
        <f>-IFERROR(GETPIVOTDATA("[Measures].[Jrnl Posting Am]",'[1]Historical Summary Cube'!$A$5,"[Accounting Period].[Fisc Yr]","[Accounting Period].[Fisc Yr].&amp;[2014]","[Revenue].[Rev Src]","[Revenue].[Rev Src].&amp;[2979]","[Revenue].[Rev Src Nm]","[Revenue].[Rev Src Nm].&amp;[TRANSFER FOR INDIRECT COST]"),0)</f>
        <v>0</v>
      </c>
      <c r="Y28" s="20">
        <f>-IFERROR(GETPIVOTDATA("[Measures].[Jrnl Posting Am]",'[1]Historical Summary Cube'!$A$5,"[Accounting Period].[Fisc Yr]","[Accounting Period].[Fisc Yr].&amp;[2015]","[Revenue].[Rev Src]","[Revenue].[Rev Src].&amp;[2979]","[Revenue].[Rev Src Nm]","[Revenue].[Rev Src Nm].&amp;[TRANSFER FOR INDIRECT COST]"),0)</f>
        <v>0</v>
      </c>
      <c r="Z28" s="20">
        <f>-IFERROR(GETPIVOTDATA("[Measures].[Jrnl Posting Am]",'[1]Historical Summary Cube'!$A$5,"[Accounting Period].[Fisc Yr]","[Accounting Period].[Fisc Yr].&amp;[2016]","[Revenue].[Rev Src]","[Revenue].[Rev Src].&amp;[2979]","[Revenue].[Rev Src Nm]","[Revenue].[Rev Src Nm].&amp;[TRANSFER FOR INDIRECT COST]"),0)</f>
        <v>0</v>
      </c>
      <c r="AA28" s="20">
        <f>-IFERROR(GETPIVOTDATA("[Measures].[Jrnl Posting Am]",'[1]Historical Summary Cube'!$A$5,"[Accounting Period].[Fisc Yr]","[Accounting Period].[Fisc Yr].&amp;[2017]","[Revenue].[Rev Src]","[Revenue].[Rev Src].&amp;[2979]","[Revenue].[Rev Src Nm]","[Revenue].[Rev Src Nm].&amp;[TRANSFER FOR INDIRECT COST]"),0)</f>
        <v>0</v>
      </c>
      <c r="AB28" s="20">
        <f>-IFERROR(GETPIVOTDATA("[Measures].[Jrnl Posting Am]",'[1]Historical Summary Cube'!$A$5,"[Accounting Period].[Fisc Yr]","[Accounting Period].[Fisc Yr].&amp;[2018]","[Revenue].[Rev Src]","[Revenue].[Rev Src].&amp;[2979]","[Revenue].[Rev Src Nm]","[Revenue].[Rev Src Nm].&amp;[TRANSFER FOR INDIRECT COST]"),0)</f>
        <v>0</v>
      </c>
      <c r="AC28" s="20">
        <f>-IFERROR(GETPIVOTDATA("[Measures].[Jrnl Posting Am]",'[1]Historical Summary Cube'!$A$5,"[Accounting Period].[Fisc Yr]","[Accounting Period].[Fisc Yr].&amp;[2019]","[Revenue].[Rev Src]","[Revenue].[Rev Src].&amp;[2979]","[Revenue].[Rev Src Nm]","[Revenue].[Rev Src Nm].&amp;[TRANSFER FOR INDIRECT COST]"),0)</f>
        <v>0</v>
      </c>
      <c r="AD28" s="20">
        <f>-IFERROR(GETPIVOTDATA("[Measures].[Jrnl Posting Am]",'[1]Historical Summary Cube'!$A$5,"[Accounting Period].[Fisc Yr]","[Accounting Period].[Fisc Yr].&amp;[2020]","[Revenue].[Rev Src]","[Revenue].[Rev Src].&amp;[2979]","[Revenue].[Rev Src Nm]","[Revenue].[Rev Src Nm].&amp;[TRANSFER FOR INDIRECT COST]"),0)</f>
        <v>0</v>
      </c>
      <c r="AE28" s="20">
        <f>-IFERROR(GETPIVOTDATA("[Measures].[Jrnl Posting Am]",'[1]Historical Summary Cube'!$A$5,"[Accounting Period].[Fisc Yr]","[Accounting Period].[Fisc Yr].&amp;[2021]","[Revenue].[Rev Src]","[Revenue].[Rev Src].&amp;[2979]","[Revenue].[Rev Src Nm]","[Revenue].[Rev Src Nm].&amp;[TRANSFER FOR INDIRECT COST]"),0)</f>
        <v>0</v>
      </c>
      <c r="AF28" s="20">
        <f>-IFERROR(GETPIVOTDATA("[Measures].[Jrnl Posting Am]",'[1]Historical Summary Cube'!$A$5,"[Accounting Period].[Fisc Yr]","[Accounting Period].[Fisc Yr].&amp;[2022]","[Revenue].[Rev Src]","[Revenue].[Rev Src].&amp;[2979]","[Revenue].[Rev Src Nm]","[Revenue].[Rev Src Nm].&amp;[TRANSFER FOR INDIRECT COST]"),0)</f>
        <v>0</v>
      </c>
      <c r="AG28" s="20">
        <f>-IFERROR(GETPIVOTDATA("[Measures].[Jrnl Posting Am]",'[1]Historical Summary Cube'!$A$5,"[Accounting Period].[Fisc Yr]","[Accounting Period].[Fisc Yr].&amp;[2023]","[Revenue].[Rev Src]","[Revenue].[Rev Src].&amp;[2979]","[Revenue].[Rev Src Nm]","[Revenue].[Rev Src Nm].&amp;[TRANSFER FOR INDIRECT COST]"),0)</f>
        <v>0</v>
      </c>
      <c r="AH28" s="20">
        <f>-IFERROR(GETPIVOTDATA("[Measures].[Jrnl Posting Am]",'[1]Historical Summary Cube'!$A$5,"[Accounting Period].[Fisc Yr]","[Accounting Period].[Fisc Yr].&amp;[2024]","[Revenue].[Rev Src]","[Revenue].[Rev Src].&amp;[2979]","[Revenue].[Rev Src Nm]","[Revenue].[Rev Src Nm].&amp;[TRANSFER FOR INDIRECT COST]"),0)</f>
        <v>0</v>
      </c>
      <c r="AI28" s="11"/>
      <c r="AJ28" s="11"/>
    </row>
    <row r="29" spans="1:36" s="10" customFormat="1" ht="15.5" x14ac:dyDescent="0.35">
      <c r="A29" s="25" t="s">
        <v>38</v>
      </c>
      <c r="B29" s="10" t="s">
        <v>39</v>
      </c>
      <c r="C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Period].&amp;[1]"),0)</f>
        <v>0</v>
      </c>
      <c r="D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Period].&amp;[2]"),0)</f>
        <v>0</v>
      </c>
      <c r="E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Period].&amp;[3]"),0)</f>
        <v>0</v>
      </c>
      <c r="F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Period].&amp;[4]"),0)</f>
        <v>0</v>
      </c>
      <c r="G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Period].&amp;[5]"),0)</f>
        <v>0</v>
      </c>
      <c r="H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Period].&amp;[6]"),0)</f>
        <v>0</v>
      </c>
      <c r="I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Period].&amp;[7]"),0)</f>
        <v>0</v>
      </c>
      <c r="J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Period].&amp;[8]"),0)</f>
        <v>0</v>
      </c>
      <c r="K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Period].&amp;[9]"),0)</f>
        <v>0</v>
      </c>
      <c r="L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Period].&amp;[10]"),0)</f>
        <v>0</v>
      </c>
      <c r="M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Period].&amp;[11]"),0)</f>
        <v>0</v>
      </c>
      <c r="N29" s="20">
        <f>-IFERROR(GETPIVOTDATA("[Measures].[Jrnl Posting Am]",'[1]Historical Summary Cube'!$A$75,"[Revenue].[Rev Src]","[Revenue].[Rev Src].&amp;[2981]","[Revenue].[Rev Src Nm]","[Revenue].[Rev Src Nm].&amp;[LEGIS TRANSFER OF REVENUE]","[Accounting Period].[Fisc Period]","[Accounting Period].[Fisc Period].&amp;[12]"),0)</f>
        <v>0</v>
      </c>
      <c r="O29" s="11">
        <f t="shared" si="2"/>
        <v>0</v>
      </c>
      <c r="P29" s="12"/>
      <c r="Q29" s="12"/>
      <c r="R29" s="20">
        <f>-IFERROR(GETPIVOTDATA("[Measures].[Jrnl Posting Am]",'[1]Historical Summary Cube'!$A$5,"[Accounting Period].[Fisc Yr]","[Accounting Period].[Fisc Yr].&amp;[2008]","[Revenue].[Rev Src]","[Revenue].[Rev Src].&amp;[2981]","[Revenue].[Rev Src Nm]","[Revenue].[Rev Src Nm].&amp;[LEGIS TRANSFER OF REVENUE]"),0)</f>
        <v>0</v>
      </c>
      <c r="S29" s="20">
        <f>-IFERROR(GETPIVOTDATA("[Measures].[Jrnl Posting Am]",'[1]Historical Summary Cube'!$A$5,"[Accounting Period].[Fisc Yr]","[Accounting Period].[Fisc Yr].&amp;[2009]","[Revenue].[Rev Src]","[Revenue].[Rev Src].&amp;[2981]","[Revenue].[Rev Src Nm]","[Revenue].[Rev Src Nm].&amp;[LEGIS TRANSFER OF REVENUE]"),0)</f>
        <v>0</v>
      </c>
      <c r="T29" s="20">
        <f>-IFERROR(GETPIVOTDATA("[Measures].[Jrnl Posting Am]",'[1]Historical Summary Cube'!$A$5,"[Accounting Period].[Fisc Yr]","[Accounting Period].[Fisc Yr].&amp;[2010]","[Revenue].[Rev Src]","[Revenue].[Rev Src].&amp;[2981]","[Revenue].[Rev Src Nm]","[Revenue].[Rev Src Nm].&amp;[LEGIS TRANSFER OF REVENUE]"),0)</f>
        <v>0</v>
      </c>
      <c r="U29" s="20">
        <f>-IFERROR(GETPIVOTDATA("[Measures].[Jrnl Posting Am]",'[1]Historical Summary Cube'!$A$5,"[Accounting Period].[Fisc Yr]","[Accounting Period].[Fisc Yr].&amp;[2011]","[Revenue].[Rev Src]","[Revenue].[Rev Src].&amp;[2981]","[Revenue].[Rev Src Nm]","[Revenue].[Rev Src Nm].&amp;[LEGIS TRANSFER OF REVENUE]"),0)</f>
        <v>-50000</v>
      </c>
      <c r="V29" s="20">
        <f>-IFERROR(GETPIVOTDATA("[Measures].[Jrnl Posting Am]",'[1]Historical Summary Cube'!$A$5,"[Accounting Period].[Fisc Yr]","[Accounting Period].[Fisc Yr].&amp;[2012]","[Revenue].[Rev Src]","[Revenue].[Rev Src].&amp;[2981]","[Revenue].[Rev Src Nm]","[Revenue].[Rev Src Nm].&amp;[LEGIS TRANSFER OF REVENUE]"),0)</f>
        <v>-200000</v>
      </c>
      <c r="W29" s="20">
        <f>-IFERROR(GETPIVOTDATA("[Measures].[Jrnl Posting Am]",'[1]Historical Summary Cube'!$A$5,"[Accounting Period].[Fisc Yr]","[Accounting Period].[Fisc Yr].&amp;[2013]","[Revenue].[Rev Src]","[Revenue].[Rev Src].&amp;[2981]","[Revenue].[Rev Src Nm]","[Revenue].[Rev Src Nm].&amp;[LEGIS TRANSFER OF REVENUE]"),0)</f>
        <v>0</v>
      </c>
      <c r="X29" s="20">
        <f>-IFERROR(GETPIVOTDATA("[Measures].[Jrnl Posting Am]",'[1]Historical Summary Cube'!$A$5,"[Accounting Period].[Fisc Yr]","[Accounting Period].[Fisc Yr].&amp;[2014]","[Revenue].[Rev Src]","[Revenue].[Rev Src].&amp;[2981]","[Revenue].[Rev Src Nm]","[Revenue].[Rev Src Nm].&amp;[LEGIS TRANSFER OF REVENUE]"),0)</f>
        <v>-135000</v>
      </c>
      <c r="Y29" s="20">
        <f>-IFERROR(GETPIVOTDATA("[Measures].[Jrnl Posting Am]",'[1]Historical Summary Cube'!$A$5,"[Accounting Period].[Fisc Yr]","[Accounting Period].[Fisc Yr].&amp;[2015]","[Revenue].[Rev Src]","[Revenue].[Rev Src].&amp;[2981]","[Revenue].[Rev Src Nm]","[Revenue].[Rev Src Nm].&amp;[LEGIS TRANSFER OF REVENUE]"),0)</f>
        <v>-235000</v>
      </c>
      <c r="Z29" s="20">
        <f>-IFERROR(GETPIVOTDATA("[Measures].[Jrnl Posting Am]",'[1]Historical Summary Cube'!$A$5,"[Accounting Period].[Fisc Yr]","[Accounting Period].[Fisc Yr].&amp;[2016]","[Revenue].[Rev Src]","[Revenue].[Rev Src].&amp;[2981]","[Revenue].[Rev Src Nm]","[Revenue].[Rev Src Nm].&amp;[LEGIS TRANSFER OF REVENUE]"),0)</f>
        <v>-135000</v>
      </c>
      <c r="AA29" s="20">
        <f>-IFERROR(GETPIVOTDATA("[Measures].[Jrnl Posting Am]",'[1]Historical Summary Cube'!$A$5,"[Accounting Period].[Fisc Yr]","[Accounting Period].[Fisc Yr].&amp;[2017]","[Revenue].[Rev Src]","[Revenue].[Rev Src].&amp;[2981]","[Revenue].[Rev Src Nm]","[Revenue].[Rev Src Nm].&amp;[LEGIS TRANSFER OF REVENUE]"),0)</f>
        <v>-135000</v>
      </c>
      <c r="AB29" s="20">
        <f>-IFERROR(GETPIVOTDATA("[Measures].[Jrnl Posting Am]",'[1]Historical Summary Cube'!$A$5,"[Accounting Period].[Fisc Yr]","[Accounting Period].[Fisc Yr].&amp;[2018]","[Revenue].[Rev Src]","[Revenue].[Rev Src].&amp;[2981]","[Revenue].[Rev Src Nm]","[Revenue].[Rev Src Nm].&amp;[LEGIS TRANSFER OF REVENUE]"),0)</f>
        <v>-135000</v>
      </c>
      <c r="AC29" s="20">
        <f>-IFERROR(GETPIVOTDATA("[Measures].[Jrnl Posting Am]",'[1]Historical Summary Cube'!$A$5,"[Accounting Period].[Fisc Yr]","[Accounting Period].[Fisc Yr].&amp;[2019]","[Revenue].[Rev Src]","[Revenue].[Rev Src].&amp;[2981]","[Revenue].[Rev Src Nm]","[Revenue].[Rev Src Nm].&amp;[LEGIS TRANSFER OF REVENUE]"),0)</f>
        <v>-135000</v>
      </c>
      <c r="AD29" s="20">
        <f>-IFERROR(GETPIVOTDATA("[Measures].[Jrnl Posting Am]",'[1]Historical Summary Cube'!$A$5,"[Accounting Period].[Fisc Yr]","[Accounting Period].[Fisc Yr].&amp;[2020]","[Revenue].[Rev Src]","[Revenue].[Rev Src].&amp;[2981]","[Revenue].[Rev Src Nm]","[Revenue].[Rev Src Nm].&amp;[LEGIS TRANSFER OF REVENUE]"),0)</f>
        <v>-200000</v>
      </c>
      <c r="AE29" s="20">
        <f>-IFERROR(GETPIVOTDATA("[Measures].[Jrnl Posting Am]",'[1]Historical Summary Cube'!$A$5,"[Accounting Period].[Fisc Yr]","[Accounting Period].[Fisc Yr].&amp;[2021]","[Revenue].[Rev Src]","[Revenue].[Rev Src].&amp;[2981]","[Revenue].[Rev Src Nm]","[Revenue].[Rev Src Nm].&amp;[LEGIS TRANSFER OF REVENUE]"),0)</f>
        <v>-200000</v>
      </c>
      <c r="AF29" s="20">
        <f>-IFERROR(GETPIVOTDATA("[Measures].[Jrnl Posting Am]",'[1]Historical Summary Cube'!$A$5,"[Accounting Period].[Fisc Yr]","[Accounting Period].[Fisc Yr].&amp;[2022]","[Revenue].[Rev Src]","[Revenue].[Rev Src].&amp;[2981]","[Revenue].[Rev Src Nm]","[Revenue].[Rev Src Nm].&amp;[LEGIS TRANSFER OF REVENUE]"),0)</f>
        <v>-140000</v>
      </c>
      <c r="AG29" s="20">
        <f>-IFERROR(GETPIVOTDATA("[Measures].[Jrnl Posting Am]",'[1]Historical Summary Cube'!$A$5,"[Accounting Period].[Fisc Yr]","[Accounting Period].[Fisc Yr].&amp;[2023]","[Revenue].[Rev Src]","[Revenue].[Rev Src].&amp;[2981]","[Revenue].[Rev Src Nm]","[Revenue].[Rev Src Nm].&amp;[LEGIS TRANSFER OF REVENUE]"),0)</f>
        <v>-200000</v>
      </c>
      <c r="AH29" s="20">
        <f>-IFERROR(GETPIVOTDATA("[Measures].[Jrnl Posting Am]",'[1]Historical Summary Cube'!$A$5,"[Accounting Period].[Fisc Yr]","[Accounting Period].[Fisc Yr].&amp;[2024]","[Revenue].[Rev Src]","[Revenue].[Rev Src].&amp;[2981]","[Revenue].[Rev Src Nm]","[Revenue].[Rev Src Nm].&amp;[LEGIS TRANSFER OF REVENUE]"),0)</f>
        <v>0</v>
      </c>
      <c r="AI29" s="11"/>
      <c r="AJ29" s="11"/>
    </row>
    <row r="30" spans="1:36" s="13" customFormat="1" ht="16" thickBot="1" x14ac:dyDescent="0.4">
      <c r="A30" s="24"/>
      <c r="B30" s="26" t="s">
        <v>40</v>
      </c>
      <c r="C30" s="27">
        <f t="shared" ref="C30:O30" si="3">SUM(C10:C29)</f>
        <v>11091.940000000002</v>
      </c>
      <c r="D30" s="27">
        <f t="shared" si="3"/>
        <v>35286.559999999998</v>
      </c>
      <c r="E30" s="27">
        <f t="shared" si="3"/>
        <v>2433.5</v>
      </c>
      <c r="F30" s="27">
        <f t="shared" si="3"/>
        <v>3305</v>
      </c>
      <c r="G30" s="27">
        <f t="shared" si="3"/>
        <v>0</v>
      </c>
      <c r="H30" s="27">
        <f t="shared" si="3"/>
        <v>0</v>
      </c>
      <c r="I30" s="27">
        <f t="shared" si="3"/>
        <v>0</v>
      </c>
      <c r="J30" s="27">
        <f t="shared" si="3"/>
        <v>0</v>
      </c>
      <c r="K30" s="27">
        <f t="shared" si="3"/>
        <v>0</v>
      </c>
      <c r="L30" s="27">
        <f t="shared" si="3"/>
        <v>0</v>
      </c>
      <c r="M30" s="27">
        <f t="shared" si="3"/>
        <v>0</v>
      </c>
      <c r="N30" s="27">
        <f t="shared" si="3"/>
        <v>0</v>
      </c>
      <c r="O30" s="27">
        <f t="shared" si="3"/>
        <v>52117</v>
      </c>
      <c r="P30" s="28"/>
      <c r="Q30" s="28"/>
      <c r="R30" s="27">
        <f t="shared" ref="R30:AH30" si="4">SUM(R10:R29)</f>
        <v>1280985.81</v>
      </c>
      <c r="S30" s="27">
        <f t="shared" si="4"/>
        <v>1250036.3599999999</v>
      </c>
      <c r="T30" s="27">
        <f t="shared" si="4"/>
        <v>1380715.61</v>
      </c>
      <c r="U30" s="27">
        <f t="shared" si="4"/>
        <v>1079918.58</v>
      </c>
      <c r="V30" s="27">
        <f t="shared" si="4"/>
        <v>1123130.5199999996</v>
      </c>
      <c r="W30" s="27">
        <f t="shared" si="4"/>
        <v>1529548.96</v>
      </c>
      <c r="X30" s="27">
        <f t="shared" si="4"/>
        <v>1543249.68</v>
      </c>
      <c r="Y30" s="27">
        <f t="shared" si="4"/>
        <v>1649036.97</v>
      </c>
      <c r="Z30" s="27">
        <f t="shared" si="4"/>
        <v>1730112.14</v>
      </c>
      <c r="AA30" s="27">
        <f t="shared" si="4"/>
        <v>1813183.5099999998</v>
      </c>
      <c r="AB30" s="27">
        <f t="shared" si="4"/>
        <v>2064416.98</v>
      </c>
      <c r="AC30" s="27">
        <f t="shared" si="4"/>
        <v>1736179.0999999999</v>
      </c>
      <c r="AD30" s="27">
        <f t="shared" si="4"/>
        <v>1700687.3999999994</v>
      </c>
      <c r="AE30" s="27">
        <f t="shared" si="4"/>
        <v>1728865.2000000002</v>
      </c>
      <c r="AF30" s="27">
        <f t="shared" si="4"/>
        <v>1886841.8499999999</v>
      </c>
      <c r="AG30" s="27">
        <f t="shared" si="4"/>
        <v>1409142.83</v>
      </c>
      <c r="AH30" s="27">
        <f t="shared" si="4"/>
        <v>52117</v>
      </c>
      <c r="AJ30" s="11"/>
    </row>
    <row r="31" spans="1:36" s="10" customFormat="1" ht="15.5" x14ac:dyDescent="0.35">
      <c r="A31" s="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1"/>
      <c r="P31" s="12" t="str">
        <f>IF(-O30=GETPIVOTDATA("[Measures].[Jrnl Posting Am]",'[1]Historical Summary Cube'!$A$75),"","ERROR")</f>
        <v/>
      </c>
      <c r="Q31" s="12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11" t="str">
        <f>IF(-SUM(R30:AH30)=GETPIVOTDATA("[Measures].[Jrnl Posting Am]",'[1]Historical Summary Cube'!$A$6),"","ERROR")</f>
        <v/>
      </c>
      <c r="AJ31" s="13"/>
    </row>
    <row r="32" spans="1:36" s="10" customFormat="1" ht="15.5" x14ac:dyDescent="0.35">
      <c r="A32" s="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1"/>
      <c r="P32" s="12"/>
      <c r="Q32" s="12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3"/>
      <c r="AJ32" s="13"/>
    </row>
    <row r="33" spans="1:36" s="10" customFormat="1" ht="15.5" x14ac:dyDescent="0.35">
      <c r="A33" s="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1"/>
      <c r="P33" s="12"/>
      <c r="Q33" s="12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13"/>
      <c r="AJ33" s="13"/>
    </row>
    <row r="34" spans="1:36" s="10" customFormat="1" ht="15.5" x14ac:dyDescent="0.35">
      <c r="A34" s="29" t="s">
        <v>41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1"/>
      <c r="P34" s="12"/>
      <c r="Q34" s="12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13"/>
      <c r="AJ34" s="13"/>
    </row>
    <row r="35" spans="1:36" s="10" customFormat="1" ht="15.5" hidden="1" x14ac:dyDescent="0.35">
      <c r="A35" s="25" t="s">
        <v>42</v>
      </c>
      <c r="B35" s="3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Period].&amp;[5]"),0)</f>
        <v>0</v>
      </c>
      <c r="H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Period].&amp;[6]"),0)</f>
        <v>0</v>
      </c>
      <c r="I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Period].&amp;[7]"),0)</f>
        <v>0</v>
      </c>
      <c r="J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Period].&amp;[8]"),0)</f>
        <v>0</v>
      </c>
      <c r="K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Period].&amp;[9]"),0)</f>
        <v>0</v>
      </c>
      <c r="L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Period].&amp;[10]"),0)</f>
        <v>0</v>
      </c>
      <c r="M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Period].&amp;[11]"),0)</f>
        <v>0</v>
      </c>
      <c r="N35" s="20">
        <f>IFERROR(GETPIVOTDATA("[Measures].[Jrnl Posting Am]",'[1]Historical Summary Cube'!$AA$73,"[Object].[Object Group]","[Object].[Object Group].&amp;[31]","[Object].[Obj Group Nm]","[Object].[Obj Group Nm].&amp;[SALARIES AND WAGES]","[Accounting Period].[Fisc Period]","[Accounting Period].[Fisc Period].&amp;[12]"),0)</f>
        <v>0</v>
      </c>
      <c r="O35" s="11">
        <f>SUM(C35:N35)</f>
        <v>0</v>
      </c>
      <c r="P35" s="12"/>
      <c r="Q35" s="12"/>
      <c r="R35" s="20">
        <f>IFERROR(GETPIVOTDATA("[Measures].[Jrnl Posting Am]",'[1]Historical Summary Cube'!$AA$5,"[Accounting Period].[Fisc Yr]","[Accounting Period].[Fisc Yr].&amp;[2008]","[Object].[Object Group]","[Object].[Object Group].&amp;[31]","[Object].[Obj Group Nm]","[Object].[Obj Group Nm].&amp;[SALARIES AND WAGES]"),0)</f>
        <v>11579.97</v>
      </c>
      <c r="S35" s="20">
        <f>IFERROR(GETPIVOTDATA("[Measures].[Jrnl Posting Am]",'[1]Historical Summary Cube'!$AA$5,"[Accounting Period].[Fisc Yr]","[Accounting Period].[Fisc Yr].&amp;[2009]","[Object].[Object Group]","[Object].[Object Group].&amp;[31]","[Object].[Obj Group Nm]","[Object].[Obj Group Nm].&amp;[SALARIES AND WAGES]"),0)</f>
        <v>7282.5499999999993</v>
      </c>
      <c r="T35" s="20">
        <f>IFERROR(GETPIVOTDATA("[Measures].[Jrnl Posting Am]",'[1]Historical Summary Cube'!$AA$5,"[Accounting Period].[Fisc Yr]","[Accounting Period].[Fisc Yr].&amp;[2010]","[Object].[Object Group]","[Object].[Object Group].&amp;[31]","[Object].[Obj Group Nm]","[Object].[Obj Group Nm].&amp;[SALARIES AND WAGES]"),0)</f>
        <v>6407.74</v>
      </c>
      <c r="U35" s="20">
        <f>IFERROR(GETPIVOTDATA("[Measures].[Jrnl Posting Am]",'[1]Historical Summary Cube'!$AA$5,"[Accounting Period].[Fisc Yr]","[Accounting Period].[Fisc Yr].&amp;[2011]","[Object].[Object Group]","[Object].[Object Group].&amp;[31]","[Object].[Obj Group Nm]","[Object].[Obj Group Nm].&amp;[SALARIES AND WAGES]"),0)</f>
        <v>0</v>
      </c>
      <c r="V35" s="20">
        <f>IFERROR(GETPIVOTDATA("[Measures].[Jrnl Posting Am]",'[1]Historical Summary Cube'!$AA$5,"[Accounting Period].[Fisc Yr]","[Accounting Period].[Fisc Yr].&amp;[2012]","[Object].[Object Group]","[Object].[Object Group].&amp;[31]","[Object].[Obj Group Nm]","[Object].[Obj Group Nm].&amp;[SALARIES AND WAGES]"),0)</f>
        <v>0</v>
      </c>
      <c r="W35" s="20">
        <f>IFERROR(GETPIVOTDATA("[Measures].[Jrnl Posting Am]",'[1]Historical Summary Cube'!$AA$5,"[Accounting Period].[Fisc Yr]","[Accounting Period].[Fisc Yr].&amp;[2013]","[Object].[Object Group]","[Object].[Object Group].&amp;[31]","[Object].[Obj Group Nm]","[Object].[Obj Group Nm].&amp;[SALARIES AND WAGES]"),0)</f>
        <v>0</v>
      </c>
      <c r="X35" s="20">
        <f>IFERROR(GETPIVOTDATA("[Measures].[Jrnl Posting Am]",'[1]Historical Summary Cube'!$AA$5,"[Accounting Period].[Fisc Yr]","[Accounting Period].[Fisc Yr].&amp;[2014]","[Object].[Object Group]","[Object].[Object Group].&amp;[31]","[Object].[Obj Group Nm]","[Object].[Obj Group Nm].&amp;[SALARIES AND WAGES]"),0)</f>
        <v>0</v>
      </c>
      <c r="Y35" s="20">
        <f>IFERROR(GETPIVOTDATA("[Measures].[Jrnl Posting Am]",'[1]Historical Summary Cube'!$AA$5,"[Accounting Period].[Fisc Yr]","[Accounting Period].[Fisc Yr].&amp;[2015]","[Object].[Object Group]","[Object].[Object Group].&amp;[31]","[Object].[Obj Group Nm]","[Object].[Obj Group Nm].&amp;[SALARIES AND WAGES]"),0)</f>
        <v>0</v>
      </c>
      <c r="Z35" s="20">
        <f>IFERROR(GETPIVOTDATA("[Measures].[Jrnl Posting Am]",'[1]Historical Summary Cube'!$AA$5,"[Accounting Period].[Fisc Yr]","[Accounting Period].[Fisc Yr].&amp;[2016]","[Object].[Object Group]","[Object].[Object Group].&amp;[31]","[Object].[Obj Group Nm]","[Object].[Obj Group Nm].&amp;[SALARIES AND WAGES]"),0)</f>
        <v>1566.4</v>
      </c>
      <c r="AA35" s="20">
        <f>IFERROR(GETPIVOTDATA("[Measures].[Jrnl Posting Am]",'[1]Historical Summary Cube'!$AA$5,"[Accounting Period].[Fisc Yr]","[Accounting Period].[Fisc Yr].&amp;[2017]","[Object].[Object Group]","[Object].[Object Group].&amp;[31]","[Object].[Obj Group Nm]","[Object].[Obj Group Nm].&amp;[SALARIES AND WAGES]"),0)</f>
        <v>0</v>
      </c>
      <c r="AB35" s="20">
        <f>IFERROR(GETPIVOTDATA("[Measures].[Jrnl Posting Am]",'[1]Historical Summary Cube'!$AA$5,"[Accounting Period].[Fisc Yr]","[Accounting Period].[Fisc Yr].&amp;[2018]","[Object].[Object Group]","[Object].[Object Group].&amp;[31]","[Object].[Obj Group Nm]","[Object].[Obj Group Nm].&amp;[SALARIES AND WAGES]"),0)</f>
        <v>0</v>
      </c>
      <c r="AC35" s="20">
        <f>IFERROR(GETPIVOTDATA("[Measures].[Jrnl Posting Am]",'[1]Historical Summary Cube'!$AA$5,"[Accounting Period].[Fisc Yr]","[Accounting Period].[Fisc Yr].&amp;[2019]","[Object].[Object Group]","[Object].[Object Group].&amp;[31]","[Object].[Obj Group Nm]","[Object].[Obj Group Nm].&amp;[SALARIES AND WAGES]"),0)</f>
        <v>0</v>
      </c>
      <c r="AD35" s="20">
        <f>IFERROR(GETPIVOTDATA("[Measures].[Jrnl Posting Am]",'[1]Historical Summary Cube'!$AA$5,"[Accounting Period].[Fisc Yr]","[Accounting Period].[Fisc Yr].&amp;[2020]","[Object].[Object Group]","[Object].[Object Group].&amp;[31]","[Object].[Obj Group Nm]","[Object].[Obj Group Nm].&amp;[SALARIES AND WAGES]"),0)</f>
        <v>0</v>
      </c>
      <c r="AE35" s="20">
        <f>IFERROR(GETPIVOTDATA("[Measures].[Jrnl Posting Am]",'[1]Historical Summary Cube'!$AA$5,"[Accounting Period].[Fisc Yr]","[Accounting Period].[Fisc Yr].&amp;[2021]","[Object].[Object Group]","[Object].[Object Group].&amp;[31]","[Object].[Obj Group Nm]","[Object].[Obj Group Nm].&amp;[SALARIES AND WAGES]"),0)</f>
        <v>0</v>
      </c>
      <c r="AF35" s="20">
        <f>IFERROR(GETPIVOTDATA("[Measures].[Jrnl Posting Am]",'[1]Historical Summary Cube'!$AA$5,"[Accounting Period].[Fisc Yr]","[Accounting Period].[Fisc Yr].&amp;[2022]","[Object].[Object Group]","[Object].[Object Group].&amp;[31]","[Object].[Obj Group Nm]","[Object].[Obj Group Nm].&amp;[SALARIES AND WAGES]"),0)</f>
        <v>0</v>
      </c>
      <c r="AG35" s="20">
        <f>IFERROR(GETPIVOTDATA("[Measures].[Jrnl Posting Am]",'[1]Historical Summary Cube'!$AA$5,"[Accounting Period].[Fisc Yr]","[Accounting Period].[Fisc Yr].&amp;[2023]","[Object].[Object Group]","[Object].[Object Group].&amp;[31]","[Object].[Obj Group Nm]","[Object].[Obj Group Nm].&amp;[SALARIES AND WAGES]"),0)</f>
        <v>0</v>
      </c>
      <c r="AH35" s="20">
        <f>IFERROR(GETPIVOTDATA("[Measures].[Jrnl Posting Am]",'[1]Historical Summary Cube'!$AA$5,"[Accounting Period].[Fisc Yr]","[Accounting Period].[Fisc Yr].&amp;[2024]","[Object].[Object Group]","[Object].[Object Group].&amp;[31]","[Object].[Obj Group Nm]","[Object].[Obj Group Nm].&amp;[SALARIES AND WAGES]"),0)</f>
        <v>0</v>
      </c>
      <c r="AI35" s="11"/>
      <c r="AJ35" s="11"/>
    </row>
    <row r="36" spans="1:36" s="10" customFormat="1" ht="15.5" hidden="1" x14ac:dyDescent="0.35">
      <c r="A36" s="25" t="s">
        <v>44</v>
      </c>
      <c r="B36" s="30" t="s">
        <v>43</v>
      </c>
      <c r="C36" s="20">
        <v>57623.200000000012</v>
      </c>
      <c r="D36" s="20">
        <v>86434.14</v>
      </c>
      <c r="E36" s="20">
        <v>63072.69</v>
      </c>
      <c r="F36" s="20">
        <v>0</v>
      </c>
      <c r="G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Period].&amp;[5]"),0)</f>
        <v>0</v>
      </c>
      <c r="H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Period].&amp;[6]"),0)</f>
        <v>0</v>
      </c>
      <c r="I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Period].&amp;[7]"),0)</f>
        <v>0</v>
      </c>
      <c r="J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Period].&amp;[8]"),0)</f>
        <v>0</v>
      </c>
      <c r="K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Period].&amp;[9]"),0)</f>
        <v>0</v>
      </c>
      <c r="L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Period].&amp;[10]"),0)</f>
        <v>0</v>
      </c>
      <c r="M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Period].&amp;[11]"),0)</f>
        <v>0</v>
      </c>
      <c r="N36" s="20">
        <f>IFERROR(GETPIVOTDATA("[Measures].[Jrnl Posting Am]",'[1]Historical Summary Cube'!$AA$73,"[Object].[Object Group]","[Object].[Object Group].&amp;[32]","[Object].[Obj Group Nm]","[Object].[Obj Group Nm].&amp;[SALARIES AND WAGES]","[Accounting Period].[Fisc Period]","[Accounting Period].[Fisc Period].&amp;[12]"),0)</f>
        <v>0</v>
      </c>
      <c r="O36" s="11">
        <f t="shared" ref="O36:O66" si="5">SUM(C36:N36)</f>
        <v>207130.03000000003</v>
      </c>
      <c r="P36" s="12"/>
      <c r="Q36" s="12"/>
      <c r="R36" s="20">
        <f>IFERROR(GETPIVOTDATA("[Measures].[Jrnl Posting Am]",'[1]Historical Summary Cube'!$AA$5,"[Accounting Period].[Fisc Yr]","[Accounting Period].[Fisc Yr].&amp;[2008]","[Object].[Object Group]","[Object].[Object Group].&amp;[32]","[Object].[Obj Group Nm]","[Object].[Obj Group Nm].&amp;[SALARIES AND WAGES]"),0)</f>
        <v>520072.02000000014</v>
      </c>
      <c r="S36" s="20">
        <f>IFERROR(GETPIVOTDATA("[Measures].[Jrnl Posting Am]",'[1]Historical Summary Cube'!$AA$5,"[Accounting Period].[Fisc Yr]","[Accounting Period].[Fisc Yr].&amp;[2009]","[Object].[Object Group]","[Object].[Object Group].&amp;[32]","[Object].[Obj Group Nm]","[Object].[Obj Group Nm].&amp;[SALARIES AND WAGES]"),0)</f>
        <v>536463.75000000035</v>
      </c>
      <c r="T36" s="20">
        <f>IFERROR(GETPIVOTDATA("[Measures].[Jrnl Posting Am]",'[1]Historical Summary Cube'!$AA$5,"[Accounting Period].[Fisc Yr]","[Accounting Period].[Fisc Yr].&amp;[2010]","[Object].[Object Group]","[Object].[Object Group].&amp;[32]","[Object].[Obj Group Nm]","[Object].[Obj Group Nm].&amp;[SALARIES AND WAGES]"),0)</f>
        <v>520888.8000000001</v>
      </c>
      <c r="U36" s="20">
        <f>IFERROR(GETPIVOTDATA("[Measures].[Jrnl Posting Am]",'[1]Historical Summary Cube'!$AA$5,"[Accounting Period].[Fisc Yr]","[Accounting Period].[Fisc Yr].&amp;[2011]","[Object].[Object Group]","[Object].[Object Group].&amp;[32]","[Object].[Obj Group Nm]","[Object].[Obj Group Nm].&amp;[SALARIES AND WAGES]"),0)</f>
        <v>595631.86999999988</v>
      </c>
      <c r="V36" s="20">
        <f>IFERROR(GETPIVOTDATA("[Measures].[Jrnl Posting Am]",'[1]Historical Summary Cube'!$AA$5,"[Accounting Period].[Fisc Yr]","[Accounting Period].[Fisc Yr].&amp;[2012]","[Object].[Object Group]","[Object].[Object Group].&amp;[32]","[Object].[Obj Group Nm]","[Object].[Obj Group Nm].&amp;[SALARIES AND WAGES]"),0)</f>
        <v>651085.75</v>
      </c>
      <c r="W36" s="20">
        <f>IFERROR(GETPIVOTDATA("[Measures].[Jrnl Posting Am]",'[1]Historical Summary Cube'!$AA$5,"[Accounting Period].[Fisc Yr]","[Accounting Period].[Fisc Yr].&amp;[2013]","[Object].[Object Group]","[Object].[Object Group].&amp;[32]","[Object].[Obj Group Nm]","[Object].[Obj Group Nm].&amp;[SALARIES AND WAGES]"),0)</f>
        <v>666775.64999999979</v>
      </c>
      <c r="X36" s="20">
        <f>IFERROR(GETPIVOTDATA("[Measures].[Jrnl Posting Am]",'[1]Historical Summary Cube'!$AA$5,"[Accounting Period].[Fisc Yr]","[Accounting Period].[Fisc Yr].&amp;[2014]","[Object].[Object Group]","[Object].[Object Group].&amp;[32]","[Object].[Obj Group Nm]","[Object].[Obj Group Nm].&amp;[SALARIES AND WAGES]"),0)</f>
        <v>641418.03000000014</v>
      </c>
      <c r="Y36" s="20">
        <f>IFERROR(GETPIVOTDATA("[Measures].[Jrnl Posting Am]",'[1]Historical Summary Cube'!$AA$5,"[Accounting Period].[Fisc Yr]","[Accounting Period].[Fisc Yr].&amp;[2015]","[Object].[Object Group]","[Object].[Object Group].&amp;[32]","[Object].[Obj Group Nm]","[Object].[Obj Group Nm].&amp;[SALARIES AND WAGES]"),0)</f>
        <v>660432.31000000006</v>
      </c>
      <c r="Z36" s="20">
        <f>IFERROR(GETPIVOTDATA("[Measures].[Jrnl Posting Am]",'[1]Historical Summary Cube'!$AA$5,"[Accounting Period].[Fisc Yr]","[Accounting Period].[Fisc Yr].&amp;[2016]","[Object].[Object Group]","[Object].[Object Group].&amp;[32]","[Object].[Obj Group Nm]","[Object].[Obj Group Nm].&amp;[SALARIES AND WAGES]"),0)</f>
        <v>645820.97000000009</v>
      </c>
      <c r="AA36" s="20">
        <f>IFERROR(GETPIVOTDATA("[Measures].[Jrnl Posting Am]",'[1]Historical Summary Cube'!$AA$5,"[Accounting Period].[Fisc Yr]","[Accounting Period].[Fisc Yr].&amp;[2017]","[Object].[Object Group]","[Object].[Object Group].&amp;[32]","[Object].[Obj Group Nm]","[Object].[Obj Group Nm].&amp;[SALARIES AND WAGES]"),0)</f>
        <v>631182.45999999985</v>
      </c>
      <c r="AB36" s="20">
        <f>IFERROR(GETPIVOTDATA("[Measures].[Jrnl Posting Am]",'[1]Historical Summary Cube'!$AA$5,"[Accounting Period].[Fisc Yr]","[Accounting Period].[Fisc Yr].&amp;[2018]","[Object].[Object Group]","[Object].[Object Group].&amp;[32]","[Object].[Obj Group Nm]","[Object].[Obj Group Nm].&amp;[SALARIES AND WAGES]"),0)</f>
        <v>654575.88000000012</v>
      </c>
      <c r="AC36" s="20">
        <f>IFERROR(GETPIVOTDATA("[Measures].[Jrnl Posting Am]",'[1]Historical Summary Cube'!$AA$5,"[Accounting Period].[Fisc Yr]","[Accounting Period].[Fisc Yr].&amp;[2019]","[Object].[Object Group]","[Object].[Object Group].&amp;[32]","[Object].[Obj Group Nm]","[Object].[Obj Group Nm].&amp;[SALARIES AND WAGES]"),0)</f>
        <v>686704.62</v>
      </c>
      <c r="AD36" s="20">
        <f>IFERROR(GETPIVOTDATA("[Measures].[Jrnl Posting Am]",'[1]Historical Summary Cube'!$AA$5,"[Accounting Period].[Fisc Yr]","[Accounting Period].[Fisc Yr].&amp;[2020]","[Object].[Object Group]","[Object].[Object Group].&amp;[32]","[Object].[Obj Group Nm]","[Object].[Obj Group Nm].&amp;[SALARIES AND WAGES]"),0)</f>
        <v>699358.13</v>
      </c>
      <c r="AE36" s="20">
        <f>IFERROR(GETPIVOTDATA("[Measures].[Jrnl Posting Am]",'[1]Historical Summary Cube'!$AA$5,"[Accounting Period].[Fisc Yr]","[Accounting Period].[Fisc Yr].&amp;[2021]","[Object].[Object Group]","[Object].[Object Group].&amp;[32]","[Object].[Obj Group Nm]","[Object].[Obj Group Nm].&amp;[SALARIES AND WAGES]"),0)</f>
        <v>723715.83</v>
      </c>
      <c r="AF36" s="20">
        <f>IFERROR(GETPIVOTDATA("[Measures].[Jrnl Posting Am]",'[1]Historical Summary Cube'!$AA$5,"[Accounting Period].[Fisc Yr]","[Accounting Period].[Fisc Yr].&amp;[2022]","[Object].[Object Group]","[Object].[Object Group].&amp;[32]","[Object].[Obj Group Nm]","[Object].[Obj Group Nm].&amp;[SALARIES AND WAGES]"),0)</f>
        <v>762856.50000000012</v>
      </c>
      <c r="AG36" s="20">
        <f>IFERROR(GETPIVOTDATA("[Measures].[Jrnl Posting Am]",'[1]Historical Summary Cube'!$AA$5,"[Accounting Period].[Fisc Yr]","[Accounting Period].[Fisc Yr].&amp;[2023]","[Object].[Object Group]","[Object].[Object Group].&amp;[32]","[Object].[Obj Group Nm]","[Object].[Obj Group Nm].&amp;[SALARIES AND WAGES]"),0)</f>
        <v>801239.22999999975</v>
      </c>
      <c r="AH36" s="20">
        <f>IFERROR(GETPIVOTDATA("[Measures].[Jrnl Posting Am]",'[1]Historical Summary Cube'!$AA$5,"[Accounting Period].[Fisc Yr]","[Accounting Period].[Fisc Yr].&amp;[2024]","[Object].[Object Group]","[Object].[Object Group].&amp;[32]","[Object].[Obj Group Nm]","[Object].[Obj Group Nm].&amp;[SALARIES AND WAGES]"),0)</f>
        <v>207130.03000000003</v>
      </c>
      <c r="AI36" s="11"/>
      <c r="AJ36" s="11"/>
    </row>
    <row r="37" spans="1:36" s="10" customFormat="1" ht="15.5" hidden="1" x14ac:dyDescent="0.35">
      <c r="A37" s="25">
        <v>33</v>
      </c>
      <c r="B37" s="30" t="s">
        <v>43</v>
      </c>
      <c r="C37" s="20">
        <v>6936</v>
      </c>
      <c r="D37" s="20">
        <v>10288.689999999999</v>
      </c>
      <c r="E37" s="20">
        <v>6936</v>
      </c>
      <c r="F37" s="20">
        <v>0</v>
      </c>
      <c r="G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Period].&amp;[5]"),0)</f>
        <v>0</v>
      </c>
      <c r="H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Period].&amp;[6]"),0)</f>
        <v>0</v>
      </c>
      <c r="I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Period].&amp;[7]"),0)</f>
        <v>0</v>
      </c>
      <c r="J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Period].&amp;[8]"),0)</f>
        <v>0</v>
      </c>
      <c r="K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Period].&amp;[9]"),0)</f>
        <v>0</v>
      </c>
      <c r="L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Period].&amp;[10]"),0)</f>
        <v>0</v>
      </c>
      <c r="M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Period].&amp;[11]"),0)</f>
        <v>0</v>
      </c>
      <c r="N37" s="20">
        <f>IFERROR(GETPIVOTDATA("[Measures].[Jrnl Posting Am]",'[1]Historical Summary Cube'!$AA$73,"[Object].[Object Group]","[Object].[Object Group].&amp;[33]","[Object].[Obj Group Nm]","[Object].[Obj Group Nm].&amp;[SALARIES AND WAGES]","[Accounting Period].[Fisc Period]","[Accounting Period].[Fisc Period].&amp;[12]"),0)</f>
        <v>0</v>
      </c>
      <c r="O37" s="11">
        <f t="shared" si="5"/>
        <v>24160.69</v>
      </c>
      <c r="P37" s="12"/>
      <c r="Q37" s="12"/>
      <c r="R37" s="20">
        <f>IFERROR(GETPIVOTDATA("[Measures].[Jrnl Posting Am]",'[1]Historical Summary Cube'!$AA$5,"[Accounting Period].[Fisc Yr]","[Accounting Period].[Fisc Yr].&amp;[2008]","[Object].[Object Group]","[Object].[Object Group].&amp;[33]","[Object].[Obj Group Nm]","[Object].[Obj Group Nm].&amp;[SALARIES AND WAGES]"),0)</f>
        <v>35185.29</v>
      </c>
      <c r="S37" s="20">
        <f>IFERROR(GETPIVOTDATA("[Measures].[Jrnl Posting Am]",'[1]Historical Summary Cube'!$AA$5,"[Accounting Period].[Fisc Yr]","[Accounting Period].[Fisc Yr].&amp;[2009]","[Object].[Object Group]","[Object].[Object Group].&amp;[33]","[Object].[Obj Group Nm]","[Object].[Obj Group Nm].&amp;[SALARIES AND WAGES]"),0)</f>
        <v>55112.789999999994</v>
      </c>
      <c r="T37" s="20">
        <f>IFERROR(GETPIVOTDATA("[Measures].[Jrnl Posting Am]",'[1]Historical Summary Cube'!$AA$5,"[Accounting Period].[Fisc Yr]","[Accounting Period].[Fisc Yr].&amp;[2010]","[Object].[Object Group]","[Object].[Object Group].&amp;[33]","[Object].[Obj Group Nm]","[Object].[Obj Group Nm].&amp;[SALARIES AND WAGES]"),0)</f>
        <v>55614.020000000019</v>
      </c>
      <c r="U37" s="20">
        <f>IFERROR(GETPIVOTDATA("[Measures].[Jrnl Posting Am]",'[1]Historical Summary Cube'!$AA$5,"[Accounting Period].[Fisc Yr]","[Accounting Period].[Fisc Yr].&amp;[2011]","[Object].[Object Group]","[Object].[Object Group].&amp;[33]","[Object].[Obj Group Nm]","[Object].[Obj Group Nm].&amp;[SALARIES AND WAGES]"),0)</f>
        <v>49720.73</v>
      </c>
      <c r="V37" s="20">
        <f>IFERROR(GETPIVOTDATA("[Measures].[Jrnl Posting Am]",'[1]Historical Summary Cube'!$AA$5,"[Accounting Period].[Fisc Yr]","[Accounting Period].[Fisc Yr].&amp;[2012]","[Object].[Object Group]","[Object].[Object Group].&amp;[33]","[Object].[Obj Group Nm]","[Object].[Obj Group Nm].&amp;[SALARIES AND WAGES]"),0)</f>
        <v>45721.380000000005</v>
      </c>
      <c r="W37" s="20">
        <f>IFERROR(GETPIVOTDATA("[Measures].[Jrnl Posting Am]",'[1]Historical Summary Cube'!$AA$5,"[Accounting Period].[Fisc Yr]","[Accounting Period].[Fisc Yr].&amp;[2013]","[Object].[Object Group]","[Object].[Object Group].&amp;[33]","[Object].[Obj Group Nm]","[Object].[Obj Group Nm].&amp;[SALARIES AND WAGES]"),0)</f>
        <v>52857.120000000017</v>
      </c>
      <c r="X37" s="20">
        <f>IFERROR(GETPIVOTDATA("[Measures].[Jrnl Posting Am]",'[1]Historical Summary Cube'!$AA$5,"[Accounting Period].[Fisc Yr]","[Accounting Period].[Fisc Yr].&amp;[2014]","[Object].[Object Group]","[Object].[Object Group].&amp;[33]","[Object].[Obj Group Nm]","[Object].[Obj Group Nm].&amp;[SALARIES AND WAGES]"),0)</f>
        <v>56420.750000000015</v>
      </c>
      <c r="Y37" s="20">
        <f>IFERROR(GETPIVOTDATA("[Measures].[Jrnl Posting Am]",'[1]Historical Summary Cube'!$AA$5,"[Accounting Period].[Fisc Yr]","[Accounting Period].[Fisc Yr].&amp;[2015]","[Object].[Object Group]","[Object].[Object Group].&amp;[33]","[Object].[Obj Group Nm]","[Object].[Obj Group Nm].&amp;[SALARIES AND WAGES]"),0)</f>
        <v>59147.919999999991</v>
      </c>
      <c r="Z37" s="20">
        <f>IFERROR(GETPIVOTDATA("[Measures].[Jrnl Posting Am]",'[1]Historical Summary Cube'!$AA$5,"[Accounting Period].[Fisc Yr]","[Accounting Period].[Fisc Yr].&amp;[2016]","[Object].[Object Group]","[Object].[Object Group].&amp;[33]","[Object].[Obj Group Nm]","[Object].[Obj Group Nm].&amp;[SALARIES AND WAGES]"),0)</f>
        <v>65420.470000000016</v>
      </c>
      <c r="AA37" s="20">
        <f>IFERROR(GETPIVOTDATA("[Measures].[Jrnl Posting Am]",'[1]Historical Summary Cube'!$AA$5,"[Accounting Period].[Fisc Yr]","[Accounting Period].[Fisc Yr].&amp;[2017]","[Object].[Object Group]","[Object].[Object Group].&amp;[33]","[Object].[Obj Group Nm]","[Object].[Obj Group Nm].&amp;[SALARIES AND WAGES]"),0)</f>
        <v>64467.520000000011</v>
      </c>
      <c r="AB37" s="20">
        <f>IFERROR(GETPIVOTDATA("[Measures].[Jrnl Posting Am]",'[1]Historical Summary Cube'!$AA$5,"[Accounting Period].[Fisc Yr]","[Accounting Period].[Fisc Yr].&amp;[2018]","[Object].[Object Group]","[Object].[Object Group].&amp;[33]","[Object].[Obj Group Nm]","[Object].[Obj Group Nm].&amp;[SALARIES AND WAGES]"),0)</f>
        <v>54574.12999999999</v>
      </c>
      <c r="AC37" s="20">
        <f>IFERROR(GETPIVOTDATA("[Measures].[Jrnl Posting Am]",'[1]Historical Summary Cube'!$AA$5,"[Accounting Period].[Fisc Yr]","[Accounting Period].[Fisc Yr].&amp;[2019]","[Object].[Object Group]","[Object].[Object Group].&amp;[33]","[Object].[Obj Group Nm]","[Object].[Obj Group Nm].&amp;[SALARIES AND WAGES]"),0)</f>
        <v>49745.85</v>
      </c>
      <c r="AD37" s="20">
        <f>IFERROR(GETPIVOTDATA("[Measures].[Jrnl Posting Am]",'[1]Historical Summary Cube'!$AA$5,"[Accounting Period].[Fisc Yr]","[Accounting Period].[Fisc Yr].&amp;[2020]","[Object].[Object Group]","[Object].[Object Group].&amp;[33]","[Object].[Obj Group Nm]","[Object].[Obj Group Nm].&amp;[SALARIES AND WAGES]"),0)</f>
        <v>55501.119999999981</v>
      </c>
      <c r="AE37" s="20">
        <f>IFERROR(GETPIVOTDATA("[Measures].[Jrnl Posting Am]",'[1]Historical Summary Cube'!$AA$5,"[Accounting Period].[Fisc Yr]","[Accounting Period].[Fisc Yr].&amp;[2021]","[Object].[Object Group]","[Object].[Object Group].&amp;[33]","[Object].[Obj Group Nm]","[Object].[Obj Group Nm].&amp;[SALARIES AND WAGES]"),0)</f>
        <v>60891.819999999992</v>
      </c>
      <c r="AF37" s="20">
        <f>IFERROR(GETPIVOTDATA("[Measures].[Jrnl Posting Am]",'[1]Historical Summary Cube'!$AA$5,"[Accounting Period].[Fisc Yr]","[Accounting Period].[Fisc Yr].&amp;[2022]","[Object].[Object Group]","[Object].[Object Group].&amp;[33]","[Object].[Obj Group Nm]","[Object].[Obj Group Nm].&amp;[SALARIES AND WAGES]"),0)</f>
        <v>65612.759999999995</v>
      </c>
      <c r="AG37" s="20">
        <f>IFERROR(GETPIVOTDATA("[Measures].[Jrnl Posting Am]",'[1]Historical Summary Cube'!$AA$5,"[Accounting Period].[Fisc Yr]","[Accounting Period].[Fisc Yr].&amp;[2023]","[Object].[Object Group]","[Object].[Object Group].&amp;[33]","[Object].[Obj Group Nm]","[Object].[Obj Group Nm].&amp;[SALARIES AND WAGES]"),0)</f>
        <v>71106.83</v>
      </c>
      <c r="AH37" s="20">
        <f>IFERROR(GETPIVOTDATA("[Measures].[Jrnl Posting Am]",'[1]Historical Summary Cube'!$AA$5,"[Accounting Period].[Fisc Yr]","[Accounting Period].[Fisc Yr].&amp;[2024]","[Object].[Object Group]","[Object].[Object Group].&amp;[33]","[Object].[Obj Group Nm]","[Object].[Obj Group Nm].&amp;[SALARIES AND WAGES]"),0)</f>
        <v>24160.689999999995</v>
      </c>
      <c r="AI37" s="11"/>
      <c r="AJ37" s="11"/>
    </row>
    <row r="38" spans="1:36" s="10" customFormat="1" ht="15.5" hidden="1" x14ac:dyDescent="0.35">
      <c r="A38" s="25" t="s">
        <v>45</v>
      </c>
      <c r="B38" s="30" t="s">
        <v>43</v>
      </c>
      <c r="C38" s="20">
        <v>0</v>
      </c>
      <c r="D38" s="20">
        <v>0</v>
      </c>
      <c r="E38" s="20">
        <v>0</v>
      </c>
      <c r="F38" s="20">
        <v>0</v>
      </c>
      <c r="G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Period].&amp;[5]"),0)</f>
        <v>0</v>
      </c>
      <c r="H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Period].&amp;[6]"),0)</f>
        <v>0</v>
      </c>
      <c r="I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Period].&amp;[7]"),0)</f>
        <v>0</v>
      </c>
      <c r="J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Period].&amp;[8]"),0)</f>
        <v>0</v>
      </c>
      <c r="K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Period].&amp;[9]"),0)</f>
        <v>0</v>
      </c>
      <c r="L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Period].&amp;[10]"),0)</f>
        <v>0</v>
      </c>
      <c r="M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Period].&amp;[11]"),0)</f>
        <v>0</v>
      </c>
      <c r="N38" s="20">
        <f>IFERROR(GETPIVOTDATA("[Measures].[Jrnl Posting Am]",'[1]Historical Summary Cube'!$AA$73,"[Object].[Object Group]","[Object].[Object Group].&amp;[34]","[Object].[Obj Group Nm]","[Object].[Obj Group Nm].&amp;[SALARIES AND WAGES]","[Accounting Period].[Fisc Period]","[Accounting Period].[Fisc Period].&amp;[12]"),0)</f>
        <v>0</v>
      </c>
      <c r="O38" s="11">
        <f>SUM(C38:N38)</f>
        <v>0</v>
      </c>
      <c r="P38" s="12"/>
      <c r="Q38" s="12"/>
      <c r="R38" s="20">
        <f>IFERROR(GETPIVOTDATA("[Measures].[Jrnl Posting Am]",'[1]Historical Summary Cube'!$AA$5,"[Accounting Period].[Fisc Yr]","[Accounting Period].[Fisc Yr].&amp;[2008]","[Object].[Object Group]","[Object].[Object Group].&amp;[34]","[Object].[Obj Group Nm]","[Object].[Obj Group Nm].&amp;[SALARIES AND WAGES]"),0)</f>
        <v>0</v>
      </c>
      <c r="S38" s="20">
        <f>IFERROR(GETPIVOTDATA("[Measures].[Jrnl Posting Am]",'[1]Historical Summary Cube'!$AA$5,"[Accounting Period].[Fisc Yr]","[Accounting Period].[Fisc Yr].&amp;[2009]","[Object].[Object Group]","[Object].[Object Group].&amp;[34]","[Object].[Obj Group Nm]","[Object].[Obj Group Nm].&amp;[SALARIES AND WAGES]"),0)</f>
        <v>0</v>
      </c>
      <c r="T38" s="20">
        <f>IFERROR(GETPIVOTDATA("[Measures].[Jrnl Posting Am]",'[1]Historical Summary Cube'!$AA$5,"[Accounting Period].[Fisc Yr]","[Accounting Period].[Fisc Yr].&amp;[2010]","[Object].[Object Group]","[Object].[Object Group].&amp;[34]","[Object].[Obj Group Nm]","[Object].[Obj Group Nm].&amp;[SALARIES AND WAGES]"),0)</f>
        <v>0</v>
      </c>
      <c r="U38" s="20">
        <f>IFERROR(GETPIVOTDATA("[Measures].[Jrnl Posting Am]",'[1]Historical Summary Cube'!$AA$5,"[Accounting Period].[Fisc Yr]","[Accounting Period].[Fisc Yr].&amp;[2011]","[Object].[Object Group]","[Object].[Object Group].&amp;[34]","[Object].[Obj Group Nm]","[Object].[Obj Group Nm].&amp;[SALARIES AND WAGES]"),0)</f>
        <v>0</v>
      </c>
      <c r="V38" s="20">
        <f>IFERROR(GETPIVOTDATA("[Measures].[Jrnl Posting Am]",'[1]Historical Summary Cube'!$AA$5,"[Accounting Period].[Fisc Yr]","[Accounting Period].[Fisc Yr].&amp;[2012]","[Object].[Object Group]","[Object].[Object Group].&amp;[34]","[Object].[Obj Group Nm]","[Object].[Obj Group Nm].&amp;[SALARIES AND WAGES]"),0)</f>
        <v>0</v>
      </c>
      <c r="W38" s="20">
        <f>IFERROR(GETPIVOTDATA("[Measures].[Jrnl Posting Am]",'[1]Historical Summary Cube'!$AA$5,"[Accounting Period].[Fisc Yr]","[Accounting Period].[Fisc Yr].&amp;[2013]","[Object].[Object Group]","[Object].[Object Group].&amp;[34]","[Object].[Obj Group Nm]","[Object].[Obj Group Nm].&amp;[SALARIES AND WAGES]"),0)</f>
        <v>0</v>
      </c>
      <c r="X38" s="20">
        <f>IFERROR(GETPIVOTDATA("[Measures].[Jrnl Posting Am]",'[1]Historical Summary Cube'!$AA$5,"[Accounting Period].[Fisc Yr]","[Accounting Period].[Fisc Yr].&amp;[2014]","[Object].[Object Group]","[Object].[Object Group].&amp;[34]","[Object].[Obj Group Nm]","[Object].[Obj Group Nm].&amp;[SALARIES AND WAGES]"),0)</f>
        <v>0</v>
      </c>
      <c r="Y38" s="20">
        <f>IFERROR(GETPIVOTDATA("[Measures].[Jrnl Posting Am]",'[1]Historical Summary Cube'!$AA$5,"[Accounting Period].[Fisc Yr]","[Accounting Period].[Fisc Yr].&amp;[2015]","[Object].[Object Group]","[Object].[Object Group].&amp;[34]","[Object].[Obj Group Nm]","[Object].[Obj Group Nm].&amp;[SALARIES AND WAGES]"),0)</f>
        <v>0</v>
      </c>
      <c r="Z38" s="20">
        <f>IFERROR(GETPIVOTDATA("[Measures].[Jrnl Posting Am]",'[1]Historical Summary Cube'!$AA$5,"[Accounting Period].[Fisc Yr]","[Accounting Period].[Fisc Yr].&amp;[2016]","[Object].[Object Group]","[Object].[Object Group].&amp;[34]","[Object].[Obj Group Nm]","[Object].[Obj Group Nm].&amp;[SALARIES AND WAGES]"),0)</f>
        <v>0</v>
      </c>
      <c r="AA38" s="20">
        <f>IFERROR(GETPIVOTDATA("[Measures].[Jrnl Posting Am]",'[1]Historical Summary Cube'!$AA$5,"[Accounting Period].[Fisc Yr]","[Accounting Period].[Fisc Yr].&amp;[2017]","[Object].[Object Group]","[Object].[Object Group].&amp;[34]","[Object].[Obj Group Nm]","[Object].[Obj Group Nm].&amp;[SALARIES AND WAGES]"),0)</f>
        <v>0</v>
      </c>
      <c r="AB38" s="20">
        <f>IFERROR(GETPIVOTDATA("[Measures].[Jrnl Posting Am]",'[1]Historical Summary Cube'!$AA$5,"[Accounting Period].[Fisc Yr]","[Accounting Period].[Fisc Yr].&amp;[2018]","[Object].[Object Group]","[Object].[Object Group].&amp;[34]","[Object].[Obj Group Nm]","[Object].[Obj Group Nm].&amp;[SALARIES AND WAGES]"),0)</f>
        <v>0</v>
      </c>
      <c r="AC38" s="20">
        <f>IFERROR(GETPIVOTDATA("[Measures].[Jrnl Posting Am]",'[1]Historical Summary Cube'!$AA$5,"[Accounting Period].[Fisc Yr]","[Accounting Period].[Fisc Yr].&amp;[2019]","[Object].[Object Group]","[Object].[Object Group].&amp;[34]","[Object].[Obj Group Nm]","[Object].[Obj Group Nm].&amp;[SALARIES AND WAGES]"),0)</f>
        <v>2304</v>
      </c>
      <c r="AD38" s="20">
        <f>IFERROR(GETPIVOTDATA("[Measures].[Jrnl Posting Am]",'[1]Historical Summary Cube'!$AA$5,"[Accounting Period].[Fisc Yr]","[Accounting Period].[Fisc Yr].&amp;[2020]","[Object].[Object Group]","[Object].[Object Group].&amp;[34]","[Object].[Obj Group Nm]","[Object].[Obj Group Nm].&amp;[SALARIES AND WAGES]"),0)</f>
        <v>4680</v>
      </c>
      <c r="AE38" s="20">
        <f>IFERROR(GETPIVOTDATA("[Measures].[Jrnl Posting Am]",'[1]Historical Summary Cube'!$AA$5,"[Accounting Period].[Fisc Yr]","[Accounting Period].[Fisc Yr].&amp;[2021]","[Object].[Object Group]","[Object].[Object Group].&amp;[34]","[Object].[Obj Group Nm]","[Object].[Obj Group Nm].&amp;[SALARIES AND WAGES]"),0)</f>
        <v>0</v>
      </c>
      <c r="AF38" s="20">
        <f>IFERROR(GETPIVOTDATA("[Measures].[Jrnl Posting Am]",'[1]Historical Summary Cube'!$AA$5,"[Accounting Period].[Fisc Yr]","[Accounting Period].[Fisc Yr].&amp;[2022]","[Object].[Object Group]","[Object].[Object Group].&amp;[34]","[Object].[Obj Group Nm]","[Object].[Obj Group Nm].&amp;[SALARIES AND WAGES]"),0)</f>
        <v>0</v>
      </c>
      <c r="AG38" s="20">
        <f>IFERROR(GETPIVOTDATA("[Measures].[Jrnl Posting Am]",'[1]Historical Summary Cube'!$AA$5,"[Accounting Period].[Fisc Yr]","[Accounting Period].[Fisc Yr].&amp;[2023]","[Object].[Object Group]","[Object].[Object Group].&amp;[34]","[Object].[Obj Group Nm]","[Object].[Obj Group Nm].&amp;[SALARIES AND WAGES]"),0)</f>
        <v>0</v>
      </c>
      <c r="AH38" s="20">
        <f>IFERROR(GETPIVOTDATA("[Measures].[Jrnl Posting Am]",'[1]Historical Summary Cube'!$AA$5,"[Accounting Period].[Fisc Yr]","[Accounting Period].[Fisc Yr].&amp;[2024]","[Object].[Object Group]","[Object].[Object Group].&amp;[34]","[Object].[Obj Group Nm]","[Object].[Obj Group Nm].&amp;[SALARIES AND WAGES]"),0)</f>
        <v>0</v>
      </c>
      <c r="AI38" s="11"/>
      <c r="AJ38" s="11"/>
    </row>
    <row r="39" spans="1:36" s="10" customFormat="1" ht="15.5" hidden="1" x14ac:dyDescent="0.35">
      <c r="A39" s="25" t="s">
        <v>46</v>
      </c>
      <c r="B39" s="30" t="s">
        <v>43</v>
      </c>
      <c r="C39" s="20">
        <v>608.1</v>
      </c>
      <c r="D39" s="20">
        <v>1219.73</v>
      </c>
      <c r="E39" s="20">
        <v>7100.77</v>
      </c>
      <c r="F39" s="20">
        <v>0</v>
      </c>
      <c r="G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Period].&amp;[5]"),0)</f>
        <v>0</v>
      </c>
      <c r="H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Period].&amp;[6]"),0)</f>
        <v>0</v>
      </c>
      <c r="I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Period].&amp;[7]"),0)</f>
        <v>0</v>
      </c>
      <c r="J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Period].&amp;[8]"),0)</f>
        <v>0</v>
      </c>
      <c r="K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Period].&amp;[9]"),0)</f>
        <v>0</v>
      </c>
      <c r="L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Period].&amp;[10]"),0)</f>
        <v>0</v>
      </c>
      <c r="M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Period].&amp;[11]"),0)</f>
        <v>0</v>
      </c>
      <c r="N39" s="20">
        <f>IFERROR(GETPIVOTDATA("[Measures].[Jrnl Posting Am]",'[1]Historical Summary Cube'!$AA$73,"[Object].[Object Group]","[Object].[Object Group].&amp;[36]","[Object].[Obj Group Nm]","[Object].[Obj Group Nm].&amp;[SALARIES AND WAGES]","[Accounting Period].[Fisc Period]","[Accounting Period].[Fisc Period].&amp;[12]"),0)</f>
        <v>0</v>
      </c>
      <c r="O39" s="11">
        <f t="shared" si="5"/>
        <v>8928.6</v>
      </c>
      <c r="P39" s="12"/>
      <c r="Q39" s="12"/>
      <c r="R39" s="20">
        <f>IFERROR(GETPIVOTDATA("[Measures].[Jrnl Posting Am]",'[1]Historical Summary Cube'!$AA$5,"[Accounting Period].[Fisc Yr]","[Accounting Period].[Fisc Yr].&amp;[2008]","[Object].[Object Group]","[Object].[Object Group].&amp;[36]","[Object].[Obj Group Nm]","[Object].[Obj Group Nm].&amp;[SALARIES AND WAGES]"),0)</f>
        <v>24658.670000000002</v>
      </c>
      <c r="S39" s="20">
        <f>IFERROR(GETPIVOTDATA("[Measures].[Jrnl Posting Am]",'[1]Historical Summary Cube'!$AA$5,"[Accounting Period].[Fisc Yr]","[Accounting Period].[Fisc Yr].&amp;[2009]","[Object].[Object Group]","[Object].[Object Group].&amp;[36]","[Object].[Obj Group Nm]","[Object].[Obj Group Nm].&amp;[SALARIES AND WAGES]"),0)</f>
        <v>17692.350000000002</v>
      </c>
      <c r="T39" s="20">
        <f>IFERROR(GETPIVOTDATA("[Measures].[Jrnl Posting Am]",'[1]Historical Summary Cube'!$AA$5,"[Accounting Period].[Fisc Yr]","[Accounting Period].[Fisc Yr].&amp;[2010]","[Object].[Object Group]","[Object].[Object Group].&amp;[36]","[Object].[Obj Group Nm]","[Object].[Obj Group Nm].&amp;[SALARIES AND WAGES]"),0)</f>
        <v>19885.340000000004</v>
      </c>
      <c r="U39" s="20">
        <f>IFERROR(GETPIVOTDATA("[Measures].[Jrnl Posting Am]",'[1]Historical Summary Cube'!$AA$5,"[Accounting Period].[Fisc Yr]","[Accounting Period].[Fisc Yr].&amp;[2011]","[Object].[Object Group]","[Object].[Object Group].&amp;[36]","[Object].[Obj Group Nm]","[Object].[Obj Group Nm].&amp;[SALARIES AND WAGES]"),0)</f>
        <v>19793.699999999993</v>
      </c>
      <c r="V39" s="20">
        <f>IFERROR(GETPIVOTDATA("[Measures].[Jrnl Posting Am]",'[1]Historical Summary Cube'!$AA$5,"[Accounting Period].[Fisc Yr]","[Accounting Period].[Fisc Yr].&amp;[2012]","[Object].[Object Group]","[Object].[Object Group].&amp;[36]","[Object].[Obj Group Nm]","[Object].[Obj Group Nm].&amp;[SALARIES AND WAGES]"),0)</f>
        <v>13596.800000000003</v>
      </c>
      <c r="W39" s="20">
        <f>IFERROR(GETPIVOTDATA("[Measures].[Jrnl Posting Am]",'[1]Historical Summary Cube'!$AA$5,"[Accounting Period].[Fisc Yr]","[Accounting Period].[Fisc Yr].&amp;[2013]","[Object].[Object Group]","[Object].[Object Group].&amp;[36]","[Object].[Obj Group Nm]","[Object].[Obj Group Nm].&amp;[SALARIES AND WAGES]"),0)</f>
        <v>11978.340000000004</v>
      </c>
      <c r="X39" s="20">
        <f>IFERROR(GETPIVOTDATA("[Measures].[Jrnl Posting Am]",'[1]Historical Summary Cube'!$AA$5,"[Accounting Period].[Fisc Yr]","[Accounting Period].[Fisc Yr].&amp;[2014]","[Object].[Object Group]","[Object].[Object Group].&amp;[36]","[Object].[Obj Group Nm]","[Object].[Obj Group Nm].&amp;[SALARIES AND WAGES]"),0)</f>
        <v>10657.580000000002</v>
      </c>
      <c r="Y39" s="20">
        <f>IFERROR(GETPIVOTDATA("[Measures].[Jrnl Posting Am]",'[1]Historical Summary Cube'!$AA$5,"[Accounting Period].[Fisc Yr]","[Accounting Period].[Fisc Yr].&amp;[2015]","[Object].[Object Group]","[Object].[Object Group].&amp;[36]","[Object].[Obj Group Nm]","[Object].[Obj Group Nm].&amp;[SALARIES AND WAGES]"),0)</f>
        <v>15495.409999999993</v>
      </c>
      <c r="Z39" s="20">
        <f>IFERROR(GETPIVOTDATA("[Measures].[Jrnl Posting Am]",'[1]Historical Summary Cube'!$AA$5,"[Accounting Period].[Fisc Yr]","[Accounting Period].[Fisc Yr].&amp;[2016]","[Object].[Object Group]","[Object].[Object Group].&amp;[36]","[Object].[Obj Group Nm]","[Object].[Obj Group Nm].&amp;[SALARIES AND WAGES]"),0)</f>
        <v>12154.229999999998</v>
      </c>
      <c r="AA39" s="20">
        <f>IFERROR(GETPIVOTDATA("[Measures].[Jrnl Posting Am]",'[1]Historical Summary Cube'!$AA$5,"[Accounting Period].[Fisc Yr]","[Accounting Period].[Fisc Yr].&amp;[2017]","[Object].[Object Group]","[Object].[Object Group].&amp;[36]","[Object].[Obj Group Nm]","[Object].[Obj Group Nm].&amp;[SALARIES AND WAGES]"),0)</f>
        <v>25911.270000000004</v>
      </c>
      <c r="AB39" s="20">
        <f>IFERROR(GETPIVOTDATA("[Measures].[Jrnl Posting Am]",'[1]Historical Summary Cube'!$AA$5,"[Accounting Period].[Fisc Yr]","[Accounting Period].[Fisc Yr].&amp;[2018]","[Object].[Object Group]","[Object].[Object Group].&amp;[36]","[Object].[Obj Group Nm]","[Object].[Obj Group Nm].&amp;[SALARIES AND WAGES]"),0)</f>
        <v>8750.92</v>
      </c>
      <c r="AC39" s="20">
        <f>IFERROR(GETPIVOTDATA("[Measures].[Jrnl Posting Am]",'[1]Historical Summary Cube'!$AA$5,"[Accounting Period].[Fisc Yr]","[Accounting Period].[Fisc Yr].&amp;[2019]","[Object].[Object Group]","[Object].[Object Group].&amp;[36]","[Object].[Obj Group Nm]","[Object].[Obj Group Nm].&amp;[SALARIES AND WAGES]"),0)</f>
        <v>8890</v>
      </c>
      <c r="AD39" s="20">
        <f>IFERROR(GETPIVOTDATA("[Measures].[Jrnl Posting Am]",'[1]Historical Summary Cube'!$AA$5,"[Accounting Period].[Fisc Yr]","[Accounting Period].[Fisc Yr].&amp;[2020]","[Object].[Object Group]","[Object].[Object Group].&amp;[36]","[Object].[Obj Group Nm]","[Object].[Obj Group Nm].&amp;[SALARIES AND WAGES]"),0)</f>
        <v>12702.839999999998</v>
      </c>
      <c r="AE39" s="20">
        <f>IFERROR(GETPIVOTDATA("[Measures].[Jrnl Posting Am]",'[1]Historical Summary Cube'!$AA$5,"[Accounting Period].[Fisc Yr]","[Accounting Period].[Fisc Yr].&amp;[2021]","[Object].[Object Group]","[Object].[Object Group].&amp;[36]","[Object].[Obj Group Nm]","[Object].[Obj Group Nm].&amp;[SALARIES AND WAGES]"),0)</f>
        <v>15734.02</v>
      </c>
      <c r="AF39" s="20">
        <f>IFERROR(GETPIVOTDATA("[Measures].[Jrnl Posting Am]",'[1]Historical Summary Cube'!$AA$5,"[Accounting Period].[Fisc Yr]","[Accounting Period].[Fisc Yr].&amp;[2022]","[Object].[Object Group]","[Object].[Object Group].&amp;[36]","[Object].[Obj Group Nm]","[Object].[Obj Group Nm].&amp;[SALARIES AND WAGES]"),0)</f>
        <v>42588.93</v>
      </c>
      <c r="AG39" s="20">
        <f>IFERROR(GETPIVOTDATA("[Measures].[Jrnl Posting Am]",'[1]Historical Summary Cube'!$AA$5,"[Accounting Period].[Fisc Yr]","[Accounting Period].[Fisc Yr].&amp;[2023]","[Object].[Object Group]","[Object].[Object Group].&amp;[36]","[Object].[Obj Group Nm]","[Object].[Obj Group Nm].&amp;[SALARIES AND WAGES]"),0)</f>
        <v>28335.73</v>
      </c>
      <c r="AH39" s="20">
        <f>IFERROR(GETPIVOTDATA("[Measures].[Jrnl Posting Am]",'[1]Historical Summary Cube'!$AA$5,"[Accounting Period].[Fisc Yr]","[Accounting Period].[Fisc Yr].&amp;[2024]","[Object].[Object Group]","[Object].[Object Group].&amp;[36]","[Object].[Obj Group Nm]","[Object].[Obj Group Nm].&amp;[SALARIES AND WAGES]"),0)</f>
        <v>8928.6000000000022</v>
      </c>
      <c r="AI39" s="11"/>
      <c r="AJ39" s="11"/>
    </row>
    <row r="40" spans="1:36" s="10" customFormat="1" ht="15.5" hidden="1" x14ac:dyDescent="0.35">
      <c r="A40" s="25" t="s">
        <v>47</v>
      </c>
      <c r="B40" s="30" t="s">
        <v>43</v>
      </c>
      <c r="C40" s="20">
        <v>165</v>
      </c>
      <c r="D40" s="20">
        <v>495</v>
      </c>
      <c r="E40" s="20">
        <v>330</v>
      </c>
      <c r="F40" s="20">
        <v>55</v>
      </c>
      <c r="G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Period].&amp;[5]"),0)</f>
        <v>0</v>
      </c>
      <c r="H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Period].&amp;[6]"),0)</f>
        <v>0</v>
      </c>
      <c r="I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Period].&amp;[7]"),0)</f>
        <v>0</v>
      </c>
      <c r="J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Period].&amp;[8]"),0)</f>
        <v>0</v>
      </c>
      <c r="K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Period].&amp;[9]"),0)</f>
        <v>0</v>
      </c>
      <c r="L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Period].&amp;[10]"),0)</f>
        <v>0</v>
      </c>
      <c r="M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Period].&amp;[11]"),0)</f>
        <v>0</v>
      </c>
      <c r="N40" s="20">
        <f>IFERROR(GETPIVOTDATA("[Measures].[Jrnl Posting Am]",'[1]Historical Summary Cube'!$AA$73,"[Object].[Object Group]","[Object].[Object Group].&amp;[38]","[Object].[Obj Group Nm]","[Object].[Obj Group Nm].&amp;[SALARIES AND WAGES]","[Accounting Period].[Fisc Period]","[Accounting Period].[Fisc Period].&amp;[12]"),0)</f>
        <v>0</v>
      </c>
      <c r="O40" s="11">
        <f t="shared" si="5"/>
        <v>1045</v>
      </c>
      <c r="P40" s="12"/>
      <c r="Q40" s="12"/>
      <c r="R40" s="20">
        <f>IFERROR(GETPIVOTDATA("[Measures].[Jrnl Posting Am]",'[1]Historical Summary Cube'!$AA$5,"[Accounting Period].[Fisc Yr]","[Accounting Period].[Fisc Yr].&amp;[2008]","[Object].[Object Group]","[Object].[Object Group].&amp;[38]","[Object].[Obj Group Nm]","[Object].[Obj Group Nm].&amp;[SALARIES AND WAGES]"),0)</f>
        <v>7020.95</v>
      </c>
      <c r="S40" s="20">
        <f>IFERROR(GETPIVOTDATA("[Measures].[Jrnl Posting Am]",'[1]Historical Summary Cube'!$AA$5,"[Accounting Period].[Fisc Yr]","[Accounting Period].[Fisc Yr].&amp;[2009]","[Object].[Object Group]","[Object].[Object Group].&amp;[38]","[Object].[Obj Group Nm]","[Object].[Obj Group Nm].&amp;[SALARIES AND WAGES]"),0)</f>
        <v>6119.79</v>
      </c>
      <c r="T40" s="20">
        <f>IFERROR(GETPIVOTDATA("[Measures].[Jrnl Posting Am]",'[1]Historical Summary Cube'!$AA$5,"[Accounting Period].[Fisc Yr]","[Accounting Period].[Fisc Yr].&amp;[2010]","[Object].[Object Group]","[Object].[Object Group].&amp;[38]","[Object].[Obj Group Nm]","[Object].[Obj Group Nm].&amp;[SALARIES AND WAGES]"),0)</f>
        <v>8878.32</v>
      </c>
      <c r="U40" s="20">
        <f>IFERROR(GETPIVOTDATA("[Measures].[Jrnl Posting Am]",'[1]Historical Summary Cube'!$AA$5,"[Accounting Period].[Fisc Yr]","[Accounting Period].[Fisc Yr].&amp;[2011]","[Object].[Object Group]","[Object].[Object Group].&amp;[38]","[Object].[Obj Group Nm]","[Object].[Obj Group Nm].&amp;[SALARIES AND WAGES]"),0)</f>
        <v>8888.0400000000009</v>
      </c>
      <c r="V40" s="20">
        <f>IFERROR(GETPIVOTDATA("[Measures].[Jrnl Posting Am]",'[1]Historical Summary Cube'!$AA$5,"[Accounting Period].[Fisc Yr]","[Accounting Period].[Fisc Yr].&amp;[2012]","[Object].[Object Group]","[Object].[Object Group].&amp;[38]","[Object].[Obj Group Nm]","[Object].[Obj Group Nm].&amp;[SALARIES AND WAGES]"),0)</f>
        <v>8433.42</v>
      </c>
      <c r="W40" s="20">
        <f>IFERROR(GETPIVOTDATA("[Measures].[Jrnl Posting Am]",'[1]Historical Summary Cube'!$AA$5,"[Accounting Period].[Fisc Yr]","[Accounting Period].[Fisc Yr].&amp;[2013]","[Object].[Object Group]","[Object].[Object Group].&amp;[38]","[Object].[Obj Group Nm]","[Object].[Obj Group Nm].&amp;[SALARIES AND WAGES]"),0)</f>
        <v>10470.700000000001</v>
      </c>
      <c r="X40" s="20">
        <f>IFERROR(GETPIVOTDATA("[Measures].[Jrnl Posting Am]",'[1]Historical Summary Cube'!$AA$5,"[Accounting Period].[Fisc Yr]","[Accounting Period].[Fisc Yr].&amp;[2014]","[Object].[Object Group]","[Object].[Object Group].&amp;[38]","[Object].[Obj Group Nm]","[Object].[Obj Group Nm].&amp;[SALARIES AND WAGES]"),0)</f>
        <v>8892.82</v>
      </c>
      <c r="Y40" s="20">
        <f>IFERROR(GETPIVOTDATA("[Measures].[Jrnl Posting Am]",'[1]Historical Summary Cube'!$AA$5,"[Accounting Period].[Fisc Yr]","[Accounting Period].[Fisc Yr].&amp;[2015]","[Object].[Object Group]","[Object].[Object Group].&amp;[38]","[Object].[Obj Group Nm]","[Object].[Obj Group Nm].&amp;[SALARIES AND WAGES]"),0)</f>
        <v>9141.89</v>
      </c>
      <c r="Z40" s="20">
        <f>IFERROR(GETPIVOTDATA("[Measures].[Jrnl Posting Am]",'[1]Historical Summary Cube'!$AA$5,"[Accounting Period].[Fisc Yr]","[Accounting Period].[Fisc Yr].&amp;[2016]","[Object].[Object Group]","[Object].[Object Group].&amp;[38]","[Object].[Obj Group Nm]","[Object].[Obj Group Nm].&amp;[SALARIES AND WAGES]"),0)</f>
        <v>7768.3200000000015</v>
      </c>
      <c r="AA40" s="20">
        <f>IFERROR(GETPIVOTDATA("[Measures].[Jrnl Posting Am]",'[1]Historical Summary Cube'!$AA$5,"[Accounting Period].[Fisc Yr]","[Accounting Period].[Fisc Yr].&amp;[2017]","[Object].[Object Group]","[Object].[Object Group].&amp;[38]","[Object].[Obj Group Nm]","[Object].[Obj Group Nm].&amp;[SALARIES AND WAGES]"),0)</f>
        <v>7780.19</v>
      </c>
      <c r="AB40" s="20">
        <f>IFERROR(GETPIVOTDATA("[Measures].[Jrnl Posting Am]",'[1]Historical Summary Cube'!$AA$5,"[Accounting Period].[Fisc Yr]","[Accounting Period].[Fisc Yr].&amp;[2018]","[Object].[Object Group]","[Object].[Object Group].&amp;[38]","[Object].[Obj Group Nm]","[Object].[Obj Group Nm].&amp;[SALARIES AND WAGES]"),0)</f>
        <v>7308.08</v>
      </c>
      <c r="AC40" s="20">
        <f>IFERROR(GETPIVOTDATA("[Measures].[Jrnl Posting Am]",'[1]Historical Summary Cube'!$AA$5,"[Accounting Period].[Fisc Yr]","[Accounting Period].[Fisc Yr].&amp;[2019]","[Object].[Object Group]","[Object].[Object Group].&amp;[38]","[Object].[Obj Group Nm]","[Object].[Obj Group Nm].&amp;[SALARIES AND WAGES]"),0)</f>
        <v>7558.0300000000007</v>
      </c>
      <c r="AD40" s="20">
        <f>IFERROR(GETPIVOTDATA("[Measures].[Jrnl Posting Am]",'[1]Historical Summary Cube'!$AA$5,"[Accounting Period].[Fisc Yr]","[Accounting Period].[Fisc Yr].&amp;[2020]","[Object].[Object Group]","[Object].[Object Group].&amp;[38]","[Object].[Obj Group Nm]","[Object].[Obj Group Nm].&amp;[SALARIES AND WAGES]"),0)</f>
        <v>5888.6</v>
      </c>
      <c r="AE40" s="20">
        <f>IFERROR(GETPIVOTDATA("[Measures].[Jrnl Posting Am]",'[1]Historical Summary Cube'!$AA$5,"[Accounting Period].[Fisc Yr]","[Accounting Period].[Fisc Yr].&amp;[2021]","[Object].[Object Group]","[Object].[Object Group].&amp;[38]","[Object].[Obj Group Nm]","[Object].[Obj Group Nm].&amp;[SALARIES AND WAGES]"),0)</f>
        <v>7271.29</v>
      </c>
      <c r="AF40" s="20">
        <f>IFERROR(GETPIVOTDATA("[Measures].[Jrnl Posting Am]",'[1]Historical Summary Cube'!$AA$5,"[Accounting Period].[Fisc Yr]","[Accounting Period].[Fisc Yr].&amp;[2022]","[Object].[Object Group]","[Object].[Object Group].&amp;[38]","[Object].[Obj Group Nm]","[Object].[Obj Group Nm].&amp;[SALARIES AND WAGES]"),0)</f>
        <v>7954.4700000000012</v>
      </c>
      <c r="AG40" s="20">
        <f>IFERROR(GETPIVOTDATA("[Measures].[Jrnl Posting Am]",'[1]Historical Summary Cube'!$AA$5,"[Accounting Period].[Fisc Yr]","[Accounting Period].[Fisc Yr].&amp;[2023]","[Object].[Object Group]","[Object].[Object Group].&amp;[38]","[Object].[Obj Group Nm]","[Object].[Obj Group Nm].&amp;[SALARIES AND WAGES]"),0)</f>
        <v>6683.95</v>
      </c>
      <c r="AH40" s="20">
        <f>IFERROR(GETPIVOTDATA("[Measures].[Jrnl Posting Am]",'[1]Historical Summary Cube'!$AA$5,"[Accounting Period].[Fisc Yr]","[Accounting Period].[Fisc Yr].&amp;[2024]","[Object].[Object Group]","[Object].[Object Group].&amp;[38]","[Object].[Obj Group Nm]","[Object].[Obj Group Nm].&amp;[SALARIES AND WAGES]"),0)</f>
        <v>1045</v>
      </c>
      <c r="AI40" s="11"/>
      <c r="AJ40" s="11"/>
    </row>
    <row r="41" spans="1:36" s="10" customFormat="1" ht="15.5" hidden="1" x14ac:dyDescent="0.35">
      <c r="A41" s="25" t="s">
        <v>48</v>
      </c>
      <c r="B41" s="30" t="s">
        <v>49</v>
      </c>
      <c r="C41" s="20">
        <v>36754.71</v>
      </c>
      <c r="D41" s="20">
        <v>47712.270000000004</v>
      </c>
      <c r="E41" s="20">
        <v>38023.58</v>
      </c>
      <c r="F41" s="20">
        <v>0</v>
      </c>
      <c r="G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Period].&amp;[5]"),0)</f>
        <v>0</v>
      </c>
      <c r="H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Period].&amp;[6]"),0)</f>
        <v>0</v>
      </c>
      <c r="I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Period].&amp;[7]"),0)</f>
        <v>0</v>
      </c>
      <c r="J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Period].&amp;[8]"),0)</f>
        <v>0</v>
      </c>
      <c r="K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Period].&amp;[9]"),0)</f>
        <v>0</v>
      </c>
      <c r="L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Period].&amp;[10]"),0)</f>
        <v>0</v>
      </c>
      <c r="M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Period].&amp;[11]"),0)</f>
        <v>0</v>
      </c>
      <c r="N41" s="20">
        <f>IFERROR(GETPIVOTDATA("[Measures].[Jrnl Posting Am]",'[1]Historical Summary Cube'!$AA$73,"[Object].[Object Group]","[Object].[Object Group].&amp;[39]","[Object].[Obj Group Nm]","[Object].[Obj Group Nm].&amp;[FRINGE BENEFITS]","[Accounting Period].[Fisc Period]","[Accounting Period].[Fisc Period].&amp;[12]"),0)</f>
        <v>0</v>
      </c>
      <c r="O41" s="11">
        <f t="shared" si="5"/>
        <v>122490.56000000001</v>
      </c>
      <c r="P41" s="12"/>
      <c r="Q41" s="12"/>
      <c r="R41" s="20">
        <f>IFERROR(GETPIVOTDATA("[Measures].[Jrnl Posting Am]",'[1]Historical Summary Cube'!$AA$5,"[Accounting Period].[Fisc Yr]","[Accounting Period].[Fisc Yr].&amp;[2008]","[Object].[Object Group]","[Object].[Object Group].&amp;[39]","[Object].[Obj Group Nm]","[Object].[Obj Group Nm].&amp;[FRINGE BENEFITS]"),0)</f>
        <v>333547.75999999995</v>
      </c>
      <c r="S41" s="20">
        <f>IFERROR(GETPIVOTDATA("[Measures].[Jrnl Posting Am]",'[1]Historical Summary Cube'!$AA$5,"[Accounting Period].[Fisc Yr]","[Accounting Period].[Fisc Yr].&amp;[2009]","[Object].[Object Group]","[Object].[Object Group].&amp;[39]","[Object].[Obj Group Nm]","[Object].[Obj Group Nm].&amp;[FRINGE BENEFITS]"),0)</f>
        <v>358668.53</v>
      </c>
      <c r="T41" s="20">
        <f>IFERROR(GETPIVOTDATA("[Measures].[Jrnl Posting Am]",'[1]Historical Summary Cube'!$AA$5,"[Accounting Period].[Fisc Yr]","[Accounting Period].[Fisc Yr].&amp;[2010]","[Object].[Object Group]","[Object].[Object Group].&amp;[39]","[Object].[Obj Group Nm]","[Object].[Obj Group Nm].&amp;[FRINGE BENEFITS]"),0)</f>
        <v>346819.86999999994</v>
      </c>
      <c r="U41" s="20">
        <f>IFERROR(GETPIVOTDATA("[Measures].[Jrnl Posting Am]",'[1]Historical Summary Cube'!$AA$5,"[Accounting Period].[Fisc Yr]","[Accounting Period].[Fisc Yr].&amp;[2011]","[Object].[Object Group]","[Object].[Object Group].&amp;[39]","[Object].[Obj Group Nm]","[Object].[Obj Group Nm].&amp;[FRINGE BENEFITS]"),0)</f>
        <v>366894.06000000006</v>
      </c>
      <c r="V41" s="20">
        <f>IFERROR(GETPIVOTDATA("[Measures].[Jrnl Posting Am]",'[1]Historical Summary Cube'!$AA$5,"[Accounting Period].[Fisc Yr]","[Accounting Period].[Fisc Yr].&amp;[2012]","[Object].[Object Group]","[Object].[Object Group].&amp;[39]","[Object].[Obj Group Nm]","[Object].[Obj Group Nm].&amp;[FRINGE BENEFITS]"),0)</f>
        <v>358521.34</v>
      </c>
      <c r="W41" s="20">
        <f>IFERROR(GETPIVOTDATA("[Measures].[Jrnl Posting Am]",'[1]Historical Summary Cube'!$AA$5,"[Accounting Period].[Fisc Yr]","[Accounting Period].[Fisc Yr].&amp;[2013]","[Object].[Object Group]","[Object].[Object Group].&amp;[39]","[Object].[Obj Group Nm]","[Object].[Obj Group Nm].&amp;[FRINGE BENEFITS]"),0)</f>
        <v>364636.84</v>
      </c>
      <c r="X41" s="20">
        <f>IFERROR(GETPIVOTDATA("[Measures].[Jrnl Posting Am]",'[1]Historical Summary Cube'!$AA$5,"[Accounting Period].[Fisc Yr]","[Accounting Period].[Fisc Yr].&amp;[2014]","[Object].[Object Group]","[Object].[Object Group].&amp;[39]","[Object].[Obj Group Nm]","[Object].[Obj Group Nm].&amp;[FRINGE BENEFITS]"),0)</f>
        <v>402229</v>
      </c>
      <c r="Y41" s="20">
        <f>IFERROR(GETPIVOTDATA("[Measures].[Jrnl Posting Am]",'[1]Historical Summary Cube'!$AA$5,"[Accounting Period].[Fisc Yr]","[Accounting Period].[Fisc Yr].&amp;[2015]","[Object].[Object Group]","[Object].[Object Group].&amp;[39]","[Object].[Obj Group Nm]","[Object].[Obj Group Nm].&amp;[FRINGE BENEFITS]"),0)</f>
        <v>418671.7699999999</v>
      </c>
      <c r="Z41" s="20">
        <f>IFERROR(GETPIVOTDATA("[Measures].[Jrnl Posting Am]",'[1]Historical Summary Cube'!$AA$5,"[Accounting Period].[Fisc Yr]","[Accounting Period].[Fisc Yr].&amp;[2016]","[Object].[Object Group]","[Object].[Object Group].&amp;[39]","[Object].[Obj Group Nm]","[Object].[Obj Group Nm].&amp;[FRINGE BENEFITS]"),0)</f>
        <v>424849.47999999992</v>
      </c>
      <c r="AA41" s="20">
        <f>IFERROR(GETPIVOTDATA("[Measures].[Jrnl Posting Am]",'[1]Historical Summary Cube'!$AA$5,"[Accounting Period].[Fisc Yr]","[Accounting Period].[Fisc Yr].&amp;[2017]","[Object].[Object Group]","[Object].[Object Group].&amp;[39]","[Object].[Obj Group Nm]","[Object].[Obj Group Nm].&amp;[FRINGE BENEFITS]"),0)</f>
        <v>435463.01999999996</v>
      </c>
      <c r="AB41" s="20">
        <f>IFERROR(GETPIVOTDATA("[Measures].[Jrnl Posting Am]",'[1]Historical Summary Cube'!$AA$5,"[Accounting Period].[Fisc Yr]","[Accounting Period].[Fisc Yr].&amp;[2018]","[Object].[Object Group]","[Object].[Object Group].&amp;[39]","[Object].[Obj Group Nm]","[Object].[Obj Group Nm].&amp;[FRINGE BENEFITS]"),0)</f>
        <v>454949.36999999988</v>
      </c>
      <c r="AC41" s="20">
        <f>IFERROR(GETPIVOTDATA("[Measures].[Jrnl Posting Am]",'[1]Historical Summary Cube'!$AA$5,"[Accounting Period].[Fisc Yr]","[Accounting Period].[Fisc Yr].&amp;[2019]","[Object].[Object Group]","[Object].[Object Group].&amp;[39]","[Object].[Obj Group Nm]","[Object].[Obj Group Nm].&amp;[FRINGE BENEFITS]"),0)</f>
        <v>474202.88</v>
      </c>
      <c r="AD41" s="20">
        <f>IFERROR(GETPIVOTDATA("[Measures].[Jrnl Posting Am]",'[1]Historical Summary Cube'!$AA$5,"[Accounting Period].[Fisc Yr]","[Accounting Period].[Fisc Yr].&amp;[2020]","[Object].[Object Group]","[Object].[Object Group].&amp;[39]","[Object].[Obj Group Nm]","[Object].[Obj Group Nm].&amp;[FRINGE BENEFITS]"),0)</f>
        <v>452474.25000000006</v>
      </c>
      <c r="AE41" s="20">
        <f>IFERROR(GETPIVOTDATA("[Measures].[Jrnl Posting Am]",'[1]Historical Summary Cube'!$AA$5,"[Accounting Period].[Fisc Yr]","[Accounting Period].[Fisc Yr].&amp;[2021]","[Object].[Object Group]","[Object].[Object Group].&amp;[39]","[Object].[Obj Group Nm]","[Object].[Obj Group Nm].&amp;[FRINGE BENEFITS]"),0)</f>
        <v>451681.83</v>
      </c>
      <c r="AF41" s="20">
        <f>IFERROR(GETPIVOTDATA("[Measures].[Jrnl Posting Am]",'[1]Historical Summary Cube'!$AA$5,"[Accounting Period].[Fisc Yr]","[Accounting Period].[Fisc Yr].&amp;[2022]","[Object].[Object Group]","[Object].[Object Group].&amp;[39]","[Object].[Obj Group Nm]","[Object].[Obj Group Nm].&amp;[FRINGE BENEFITS]"),0)</f>
        <v>440315.9</v>
      </c>
      <c r="AG41" s="20">
        <f>IFERROR(GETPIVOTDATA("[Measures].[Jrnl Posting Am]",'[1]Historical Summary Cube'!$AA$5,"[Accounting Period].[Fisc Yr]","[Accounting Period].[Fisc Yr].&amp;[2023]","[Object].[Object Group]","[Object].[Object Group].&amp;[39]","[Object].[Obj Group Nm]","[Object].[Obj Group Nm].&amp;[FRINGE BENEFITS]"),0)</f>
        <v>435612.11000000016</v>
      </c>
      <c r="AH41" s="20">
        <f>IFERROR(GETPIVOTDATA("[Measures].[Jrnl Posting Am]",'[1]Historical Summary Cube'!$AA$5,"[Accounting Period].[Fisc Yr]","[Accounting Period].[Fisc Yr].&amp;[2024]","[Object].[Object Group]","[Object].[Object Group].&amp;[39]","[Object].[Obj Group Nm]","[Object].[Obj Group Nm].&amp;[FRINGE BENEFITS]"),0)</f>
        <v>122490.56</v>
      </c>
      <c r="AI41" s="11"/>
      <c r="AJ41" s="11"/>
    </row>
    <row r="42" spans="1:36" s="10" customFormat="1" ht="15.5" x14ac:dyDescent="0.35">
      <c r="A42" s="25" t="s">
        <v>50</v>
      </c>
      <c r="B42" s="30" t="s">
        <v>51</v>
      </c>
      <c r="C42" s="20">
        <f>SUM(C35:C41)</f>
        <v>102087.01000000001</v>
      </c>
      <c r="D42" s="20">
        <f t="shared" ref="D42:O42" si="6">SUM(D35:D41)</f>
        <v>146149.83000000002</v>
      </c>
      <c r="E42" s="20">
        <f t="shared" si="6"/>
        <v>115463.04000000001</v>
      </c>
      <c r="F42" s="20">
        <f t="shared" si="6"/>
        <v>55</v>
      </c>
      <c r="G42" s="20">
        <f t="shared" si="6"/>
        <v>0</v>
      </c>
      <c r="H42" s="20">
        <f t="shared" si="6"/>
        <v>0</v>
      </c>
      <c r="I42" s="20">
        <f t="shared" si="6"/>
        <v>0</v>
      </c>
      <c r="J42" s="20">
        <f t="shared" si="6"/>
        <v>0</v>
      </c>
      <c r="K42" s="20">
        <f t="shared" si="6"/>
        <v>0</v>
      </c>
      <c r="L42" s="20">
        <f t="shared" si="6"/>
        <v>0</v>
      </c>
      <c r="M42" s="20">
        <f t="shared" si="6"/>
        <v>0</v>
      </c>
      <c r="N42" s="20">
        <f t="shared" si="6"/>
        <v>0</v>
      </c>
      <c r="O42" s="20">
        <f t="shared" si="6"/>
        <v>363754.88000000006</v>
      </c>
      <c r="P42" s="12"/>
      <c r="Q42" s="12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11"/>
      <c r="AJ42" s="11"/>
    </row>
    <row r="43" spans="1:36" s="10" customFormat="1" ht="15.5" x14ac:dyDescent="0.35">
      <c r="A43" s="25" t="s">
        <v>52</v>
      </c>
      <c r="B43" s="30" t="s">
        <v>53</v>
      </c>
      <c r="C43" s="20">
        <v>1012.44</v>
      </c>
      <c r="D43" s="20">
        <v>4041.9900000000002</v>
      </c>
      <c r="E43" s="20">
        <v>579.84</v>
      </c>
      <c r="F43" s="20">
        <v>1225.2</v>
      </c>
      <c r="G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Period].&amp;[5]"),0)</f>
        <v>0</v>
      </c>
      <c r="H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Period].&amp;[6]"),0)</f>
        <v>0</v>
      </c>
      <c r="I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Period].&amp;[7]"),0)</f>
        <v>0</v>
      </c>
      <c r="J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Period].&amp;[8]"),0)</f>
        <v>0</v>
      </c>
      <c r="K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Period].&amp;[9]"),0)</f>
        <v>0</v>
      </c>
      <c r="L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Period].&amp;[10]"),0)</f>
        <v>0</v>
      </c>
      <c r="M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Period].&amp;[11]"),0)</f>
        <v>0</v>
      </c>
      <c r="N43" s="20">
        <f>IFERROR(GETPIVOTDATA("[Measures].[Jrnl Posting Am]",'[1]Historical Summary Cube'!$AA$73,"[Object].[Object Group]","[Object].[Object Group].&amp;[40]","[Object].[Obj Group Nm]","[Object].[Obj Group Nm].&amp;[PROF. SERVICES, NOT BY STATE]","[Accounting Period].[Fisc Period]","[Accounting Period].[Fisc Period].&amp;[12]"),0)</f>
        <v>0</v>
      </c>
      <c r="O43" s="11">
        <f t="shared" si="5"/>
        <v>6859.47</v>
      </c>
      <c r="P43" s="12"/>
      <c r="Q43" s="12"/>
      <c r="R43" s="20">
        <f>IFERROR(GETPIVOTDATA("[Measures].[Jrnl Posting Am]",'[1]Historical Summary Cube'!$AA$5,"[Accounting Period].[Fisc Yr]","[Accounting Period].[Fisc Yr].&amp;[2008]","[Object].[Object Group]","[Object].[Object Group].&amp;[40]","[Object].[Obj Group Nm]","[Object].[Obj Group Nm].&amp;[PROF. SERVICES, NOT BY STATE]"),0)</f>
        <v>55813.479999999996</v>
      </c>
      <c r="S43" s="20">
        <f>IFERROR(GETPIVOTDATA("[Measures].[Jrnl Posting Am]",'[1]Historical Summary Cube'!$AA$5,"[Accounting Period].[Fisc Yr]","[Accounting Period].[Fisc Yr].&amp;[2009]","[Object].[Object Group]","[Object].[Object Group].&amp;[40]","[Object].[Obj Group Nm]","[Object].[Obj Group Nm].&amp;[PROF. SERVICES, NOT BY STATE]"),0)</f>
        <v>23371.040000000001</v>
      </c>
      <c r="T43" s="20">
        <f>IFERROR(GETPIVOTDATA("[Measures].[Jrnl Posting Am]",'[1]Historical Summary Cube'!$AA$5,"[Accounting Period].[Fisc Yr]","[Accounting Period].[Fisc Yr].&amp;[2010]","[Object].[Object Group]","[Object].[Object Group].&amp;[40]","[Object].[Obj Group Nm]","[Object].[Obj Group Nm].&amp;[PROF. SERVICES, NOT BY STATE]"),0)</f>
        <v>41292.409999999996</v>
      </c>
      <c r="U43" s="20">
        <f>IFERROR(GETPIVOTDATA("[Measures].[Jrnl Posting Am]",'[1]Historical Summary Cube'!$AA$5,"[Accounting Period].[Fisc Yr]","[Accounting Period].[Fisc Yr].&amp;[2011]","[Object].[Object Group]","[Object].[Object Group].&amp;[40]","[Object].[Obj Group Nm]","[Object].[Obj Group Nm].&amp;[PROF. SERVICES, NOT BY STATE]"),0)</f>
        <v>53813.619999999995</v>
      </c>
      <c r="V43" s="20">
        <f>IFERROR(GETPIVOTDATA("[Measures].[Jrnl Posting Am]",'[1]Historical Summary Cube'!$AA$5,"[Accounting Period].[Fisc Yr]","[Accounting Period].[Fisc Yr].&amp;[2012]","[Object].[Object Group]","[Object].[Object Group].&amp;[40]","[Object].[Obj Group Nm]","[Object].[Obj Group Nm].&amp;[PROF. SERVICES, NOT BY STATE]"),0)</f>
        <v>41050.279999999992</v>
      </c>
      <c r="W43" s="20">
        <f>IFERROR(GETPIVOTDATA("[Measures].[Jrnl Posting Am]",'[1]Historical Summary Cube'!$AA$5,"[Accounting Period].[Fisc Yr]","[Accounting Period].[Fisc Yr].&amp;[2013]","[Object].[Object Group]","[Object].[Object Group].&amp;[40]","[Object].[Obj Group Nm]","[Object].[Obj Group Nm].&amp;[PROF. SERVICES, NOT BY STATE]"),0)</f>
        <v>20804.820000000003</v>
      </c>
      <c r="X43" s="20">
        <f>IFERROR(GETPIVOTDATA("[Measures].[Jrnl Posting Am]",'[1]Historical Summary Cube'!$AA$5,"[Accounting Period].[Fisc Yr]","[Accounting Period].[Fisc Yr].&amp;[2014]","[Object].[Object Group]","[Object].[Object Group].&amp;[40]","[Object].[Obj Group Nm]","[Object].[Obj Group Nm].&amp;[PROF. SERVICES, NOT BY STATE]"),0)</f>
        <v>30605.200000000015</v>
      </c>
      <c r="Y43" s="20">
        <f>IFERROR(GETPIVOTDATA("[Measures].[Jrnl Posting Am]",'[1]Historical Summary Cube'!$AA$5,"[Accounting Period].[Fisc Yr]","[Accounting Period].[Fisc Yr].&amp;[2015]","[Object].[Object Group]","[Object].[Object Group].&amp;[40]","[Object].[Obj Group Nm]","[Object].[Obj Group Nm].&amp;[PROF. SERVICES, NOT BY STATE]"),0)</f>
        <v>28244.499999999996</v>
      </c>
      <c r="Z43" s="20">
        <f>IFERROR(GETPIVOTDATA("[Measures].[Jrnl Posting Am]",'[1]Historical Summary Cube'!$AA$5,"[Accounting Period].[Fisc Yr]","[Accounting Period].[Fisc Yr].&amp;[2016]","[Object].[Object Group]","[Object].[Object Group].&amp;[40]","[Object].[Obj Group Nm]","[Object].[Obj Group Nm].&amp;[PROF. SERVICES, NOT BY STATE]"),0)</f>
        <v>38597.08</v>
      </c>
      <c r="AA43" s="20">
        <f>IFERROR(GETPIVOTDATA("[Measures].[Jrnl Posting Am]",'[1]Historical Summary Cube'!$AA$5,"[Accounting Period].[Fisc Yr]","[Accounting Period].[Fisc Yr].&amp;[2017]","[Object].[Object Group]","[Object].[Object Group].&amp;[40]","[Object].[Obj Group Nm]","[Object].[Obj Group Nm].&amp;[PROF. SERVICES, NOT BY STATE]"),0)</f>
        <v>52058.39</v>
      </c>
      <c r="AB43" s="20">
        <f>IFERROR(GETPIVOTDATA("[Measures].[Jrnl Posting Am]",'[1]Historical Summary Cube'!$AA$5,"[Accounting Period].[Fisc Yr]","[Accounting Period].[Fisc Yr].&amp;[2018]","[Object].[Object Group]","[Object].[Object Group].&amp;[40]","[Object].[Obj Group Nm]","[Object].[Obj Group Nm].&amp;[PROF. SERVICES, NOT BY STATE]"),0)</f>
        <v>46789.37000000001</v>
      </c>
      <c r="AC43" s="20">
        <f>IFERROR(GETPIVOTDATA("[Measures].[Jrnl Posting Am]",'[1]Historical Summary Cube'!$AA$5,"[Accounting Period].[Fisc Yr]","[Accounting Period].[Fisc Yr].&amp;[2019]","[Object].[Object Group]","[Object].[Object Group].&amp;[40]","[Object].[Obj Group Nm]","[Object].[Obj Group Nm].&amp;[PROF. SERVICES, NOT BY STATE]"),0)</f>
        <v>33534.410000000003</v>
      </c>
      <c r="AD43" s="20">
        <f>IFERROR(GETPIVOTDATA("[Measures].[Jrnl Posting Am]",'[1]Historical Summary Cube'!$AA$5,"[Accounting Period].[Fisc Yr]","[Accounting Period].[Fisc Yr].&amp;[2020]","[Object].[Object Group]","[Object].[Object Group].&amp;[40]","[Object].[Obj Group Nm]","[Object].[Obj Group Nm].&amp;[PROF. SERVICES, NOT BY STATE]"),0)</f>
        <v>14941.44</v>
      </c>
      <c r="AE43" s="20">
        <f>IFERROR(GETPIVOTDATA("[Measures].[Jrnl Posting Am]",'[1]Historical Summary Cube'!$AA$5,"[Accounting Period].[Fisc Yr]","[Accounting Period].[Fisc Yr].&amp;[2021]","[Object].[Object Group]","[Object].[Object Group].&amp;[40]","[Object].[Obj Group Nm]","[Object].[Obj Group Nm].&amp;[PROF. SERVICES, NOT BY STATE]"),0)</f>
        <v>19075.159999999996</v>
      </c>
      <c r="AF43" s="20">
        <f>IFERROR(GETPIVOTDATA("[Measures].[Jrnl Posting Am]",'[1]Historical Summary Cube'!$AA$5,"[Accounting Period].[Fisc Yr]","[Accounting Period].[Fisc Yr].&amp;[2022]","[Object].[Object Group]","[Object].[Object Group].&amp;[40]","[Object].[Obj Group Nm]","[Object].[Obj Group Nm].&amp;[PROF. SERVICES, NOT BY STATE]"),0)</f>
        <v>100630.24000000003</v>
      </c>
      <c r="AG43" s="20">
        <f>IFERROR(GETPIVOTDATA("[Measures].[Jrnl Posting Am]",'[1]Historical Summary Cube'!$AA$5,"[Accounting Period].[Fisc Yr]","[Accounting Period].[Fisc Yr].&amp;[2023]","[Object].[Object Group]","[Object].[Object Group].&amp;[40]","[Object].[Obj Group Nm]","[Object].[Obj Group Nm].&amp;[PROF. SERVICES, NOT BY STATE]"),0)</f>
        <v>68452.369999999981</v>
      </c>
      <c r="AH43" s="20">
        <f>IFERROR(GETPIVOTDATA("[Measures].[Jrnl Posting Am]",'[1]Historical Summary Cube'!$AA$5,"[Accounting Period].[Fisc Yr]","[Accounting Period].[Fisc Yr].&amp;[2024]","[Object].[Object Group]","[Object].[Object Group].&amp;[40]","[Object].[Obj Group Nm]","[Object].[Obj Group Nm].&amp;[PROF. SERVICES, NOT BY STATE]"),0)</f>
        <v>6859.47</v>
      </c>
      <c r="AI43" s="11"/>
      <c r="AJ43" s="11"/>
    </row>
    <row r="44" spans="1:36" s="10" customFormat="1" ht="15.5" x14ac:dyDescent="0.35">
      <c r="A44" s="25" t="s">
        <v>54</v>
      </c>
      <c r="B44" s="30" t="s">
        <v>55</v>
      </c>
      <c r="C44" s="20">
        <v>0</v>
      </c>
      <c r="D44" s="20">
        <v>0</v>
      </c>
      <c r="E44" s="20">
        <v>0</v>
      </c>
      <c r="F44" s="20">
        <v>0</v>
      </c>
      <c r="G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Period].&amp;[5]"),0)</f>
        <v>0</v>
      </c>
      <c r="H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Period].&amp;[6]"),0)</f>
        <v>0</v>
      </c>
      <c r="I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Period].&amp;[7]"),0)</f>
        <v>0</v>
      </c>
      <c r="J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Period].&amp;[8]"),0)</f>
        <v>0</v>
      </c>
      <c r="K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Period].&amp;[9]"),0)</f>
        <v>0</v>
      </c>
      <c r="L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Period].&amp;[10]"),0)</f>
        <v>0</v>
      </c>
      <c r="M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Period].&amp;[11]"),0)</f>
        <v>0</v>
      </c>
      <c r="N44" s="20">
        <f>IFERROR(GETPIVOTDATA("[Measures].[Jrnl Posting Am]",'[1]Historical Summary Cube'!$AA$73,"[Object].[Object Group]","[Object].[Object Group].&amp;[41]","[Object].[Obj Group Nm]","[Object].[Obj Group Nm].&amp;[PROF. SERVICES, BY STATE]","[Accounting Period].[Fisc Period]","[Accounting Period].[Fisc Period].&amp;[12]"),0)</f>
        <v>0</v>
      </c>
      <c r="O44" s="11">
        <f t="shared" si="5"/>
        <v>0</v>
      </c>
      <c r="P44" s="12"/>
      <c r="Q44" s="12"/>
      <c r="R44" s="20">
        <f>IFERROR(GETPIVOTDATA("[Measures].[Jrnl Posting Am]",'[1]Historical Summary Cube'!$AA$5,"[Accounting Period].[Fisc Yr]","[Accounting Period].[Fisc Yr].&amp;[2008]","[Object].[Object Group]","[Object].[Object Group].&amp;[41]","[Object].[Obj Group Nm]","[Object].[Obj Group Nm].&amp;[PROF. SERVICES, BY STATE]"),0)</f>
        <v>608</v>
      </c>
      <c r="S44" s="20">
        <f>IFERROR(GETPIVOTDATA("[Measures].[Jrnl Posting Am]",'[1]Historical Summary Cube'!$AA$5,"[Accounting Period].[Fisc Yr]","[Accounting Period].[Fisc Yr].&amp;[2009]","[Object].[Object Group]","[Object].[Object Group].&amp;[41]","[Object].[Obj Group Nm]","[Object].[Obj Group Nm].&amp;[PROF. SERVICES, BY STATE]"),0)</f>
        <v>1837.5</v>
      </c>
      <c r="T44" s="20">
        <f>IFERROR(GETPIVOTDATA("[Measures].[Jrnl Posting Am]",'[1]Historical Summary Cube'!$AA$5,"[Accounting Period].[Fisc Yr]","[Accounting Period].[Fisc Yr].&amp;[2010]","[Object].[Object Group]","[Object].[Object Group].&amp;[41]","[Object].[Obj Group Nm]","[Object].[Obj Group Nm].&amp;[PROF. SERVICES, BY STATE]"),0)</f>
        <v>750</v>
      </c>
      <c r="U44" s="20">
        <f>IFERROR(GETPIVOTDATA("[Measures].[Jrnl Posting Am]",'[1]Historical Summary Cube'!$AA$5,"[Accounting Period].[Fisc Yr]","[Accounting Period].[Fisc Yr].&amp;[2011]","[Object].[Object Group]","[Object].[Object Group].&amp;[41]","[Object].[Obj Group Nm]","[Object].[Obj Group Nm].&amp;[PROF. SERVICES, BY STATE]"),0)</f>
        <v>235</v>
      </c>
      <c r="V44" s="20">
        <f>IFERROR(GETPIVOTDATA("[Measures].[Jrnl Posting Am]",'[1]Historical Summary Cube'!$AA$5,"[Accounting Period].[Fisc Yr]","[Accounting Period].[Fisc Yr].&amp;[2012]","[Object].[Object Group]","[Object].[Object Group].&amp;[41]","[Object].[Obj Group Nm]","[Object].[Obj Group Nm].&amp;[PROF. SERVICES, BY STATE]"),0)</f>
        <v>0</v>
      </c>
      <c r="W44" s="20">
        <f>IFERROR(GETPIVOTDATA("[Measures].[Jrnl Posting Am]",'[1]Historical Summary Cube'!$AA$5,"[Accounting Period].[Fisc Yr]","[Accounting Period].[Fisc Yr].&amp;[2013]","[Object].[Object Group]","[Object].[Object Group].&amp;[41]","[Object].[Obj Group Nm]","[Object].[Obj Group Nm].&amp;[PROF. SERVICES, BY STATE]"),0)</f>
        <v>0</v>
      </c>
      <c r="X44" s="20">
        <f>IFERROR(GETPIVOTDATA("[Measures].[Jrnl Posting Am]",'[1]Historical Summary Cube'!$AA$5,"[Accounting Period].[Fisc Yr]","[Accounting Period].[Fisc Yr].&amp;[2014]","[Object].[Object Group]","[Object].[Object Group].&amp;[41]","[Object].[Obj Group Nm]","[Object].[Obj Group Nm].&amp;[PROF. SERVICES, BY STATE]"),0)</f>
        <v>0</v>
      </c>
      <c r="Y44" s="20">
        <f>IFERROR(GETPIVOTDATA("[Measures].[Jrnl Posting Am]",'[1]Historical Summary Cube'!$AA$5,"[Accounting Period].[Fisc Yr]","[Accounting Period].[Fisc Yr].&amp;[2015]","[Object].[Object Group]","[Object].[Object Group].&amp;[41]","[Object].[Obj Group Nm]","[Object].[Obj Group Nm].&amp;[PROF. SERVICES, BY STATE]"),0)</f>
        <v>0</v>
      </c>
      <c r="Z44" s="20">
        <f>IFERROR(GETPIVOTDATA("[Measures].[Jrnl Posting Am]",'[1]Historical Summary Cube'!$AA$5,"[Accounting Period].[Fisc Yr]","[Accounting Period].[Fisc Yr].&amp;[2016]","[Object].[Object Group]","[Object].[Object Group].&amp;[41]","[Object].[Obj Group Nm]","[Object].[Obj Group Nm].&amp;[PROF. SERVICES, BY STATE]"),0)</f>
        <v>0</v>
      </c>
      <c r="AA44" s="20">
        <f>IFERROR(GETPIVOTDATA("[Measures].[Jrnl Posting Am]",'[1]Historical Summary Cube'!$AA$5,"[Accounting Period].[Fisc Yr]","[Accounting Period].[Fisc Yr].&amp;[2017]","[Object].[Object Group]","[Object].[Object Group].&amp;[41]","[Object].[Obj Group Nm]","[Object].[Obj Group Nm].&amp;[PROF. SERVICES, BY STATE]"),0)</f>
        <v>0</v>
      </c>
      <c r="AB44" s="20">
        <f>IFERROR(GETPIVOTDATA("[Measures].[Jrnl Posting Am]",'[1]Historical Summary Cube'!$AA$5,"[Accounting Period].[Fisc Yr]","[Accounting Period].[Fisc Yr].&amp;[2018]","[Object].[Object Group]","[Object].[Object Group].&amp;[41]","[Object].[Obj Group Nm]","[Object].[Obj Group Nm].&amp;[PROF. SERVICES, BY STATE]"),0)</f>
        <v>0</v>
      </c>
      <c r="AC44" s="20">
        <f>IFERROR(GETPIVOTDATA("[Measures].[Jrnl Posting Am]",'[1]Historical Summary Cube'!$AA$5,"[Accounting Period].[Fisc Yr]","[Accounting Period].[Fisc Yr].&amp;[2019]","[Object].[Object Group]","[Object].[Object Group].&amp;[41]","[Object].[Obj Group Nm]","[Object].[Obj Group Nm].&amp;[PROF. SERVICES, BY STATE]"),0)</f>
        <v>0</v>
      </c>
      <c r="AD44" s="20">
        <f>IFERROR(GETPIVOTDATA("[Measures].[Jrnl Posting Am]",'[1]Historical Summary Cube'!$AA$5,"[Accounting Period].[Fisc Yr]","[Accounting Period].[Fisc Yr].&amp;[2020]","[Object].[Object Group]","[Object].[Object Group].&amp;[41]","[Object].[Obj Group Nm]","[Object].[Obj Group Nm].&amp;[PROF. SERVICES, BY STATE]"),0)</f>
        <v>0</v>
      </c>
      <c r="AE44" s="20">
        <f>IFERROR(GETPIVOTDATA("[Measures].[Jrnl Posting Am]",'[1]Historical Summary Cube'!$AA$5,"[Accounting Period].[Fisc Yr]","[Accounting Period].[Fisc Yr].&amp;[2021]","[Object].[Object Group]","[Object].[Object Group].&amp;[41]","[Object].[Obj Group Nm]","[Object].[Obj Group Nm].&amp;[PROF. SERVICES, BY STATE]"),0)</f>
        <v>0</v>
      </c>
      <c r="AF44" s="20">
        <f>IFERROR(GETPIVOTDATA("[Measures].[Jrnl Posting Am]",'[1]Historical Summary Cube'!$AA$5,"[Accounting Period].[Fisc Yr]","[Accounting Period].[Fisc Yr].&amp;[2022]","[Object].[Object Group]","[Object].[Object Group].&amp;[41]","[Object].[Obj Group Nm]","[Object].[Obj Group Nm].&amp;[PROF. SERVICES, BY STATE]"),0)</f>
        <v>0</v>
      </c>
      <c r="AG44" s="20">
        <f>IFERROR(GETPIVOTDATA("[Measures].[Jrnl Posting Am]",'[1]Historical Summary Cube'!$AA$5,"[Accounting Period].[Fisc Yr]","[Accounting Period].[Fisc Yr].&amp;[2023]","[Object].[Object Group]","[Object].[Object Group].&amp;[41]","[Object].[Obj Group Nm]","[Object].[Obj Group Nm].&amp;[PROF. SERVICES, BY STATE]"),0)</f>
        <v>0</v>
      </c>
      <c r="AH44" s="20">
        <f>IFERROR(GETPIVOTDATA("[Measures].[Jrnl Posting Am]",'[1]Historical Summary Cube'!$AA$5,"[Accounting Period].[Fisc Yr]","[Accounting Period].[Fisc Yr].&amp;[2024]","[Object].[Object Group]","[Object].[Object Group].&amp;[41]","[Object].[Obj Group Nm]","[Object].[Obj Group Nm].&amp;[PROF. SERVICES, BY STATE]"),0)</f>
        <v>0</v>
      </c>
      <c r="AI44" s="11"/>
      <c r="AJ44" s="11"/>
    </row>
    <row r="45" spans="1:36" s="10" customFormat="1" ht="15.5" x14ac:dyDescent="0.35">
      <c r="A45" s="25" t="s">
        <v>56</v>
      </c>
      <c r="B45" s="30" t="s">
        <v>57</v>
      </c>
      <c r="C45" s="20">
        <v>0</v>
      </c>
      <c r="D45" s="20">
        <v>59.18</v>
      </c>
      <c r="E45" s="20">
        <v>20.350000000000001</v>
      </c>
      <c r="F45" s="20">
        <v>26.78</v>
      </c>
      <c r="G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Period].&amp;[5]"),0)</f>
        <v>0</v>
      </c>
      <c r="H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Period].&amp;[6]"),0)</f>
        <v>0</v>
      </c>
      <c r="I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Period].&amp;[7]"),0)</f>
        <v>0</v>
      </c>
      <c r="J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Period].&amp;[8]"),0)</f>
        <v>0</v>
      </c>
      <c r="K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Period].&amp;[9]"),0)</f>
        <v>0</v>
      </c>
      <c r="L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Period].&amp;[10]"),0)</f>
        <v>0</v>
      </c>
      <c r="M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Period].&amp;[11]"),0)</f>
        <v>0</v>
      </c>
      <c r="N45" s="20">
        <f>IFERROR(GETPIVOTDATA("[Measures].[Jrnl Posting Am]",'[1]Historical Summary Cube'!$AA$73,"[Object].[Object Group]","[Object].[Object Group].&amp;[42]","[Object].[Obj Group Nm]","[Object].[Obj Group Nm].&amp;[TRAVEL EXPENSES, IN STATE]","[Accounting Period].[Fisc Period]","[Accounting Period].[Fisc Period].&amp;[12]"),0)</f>
        <v>0</v>
      </c>
      <c r="O45" s="11">
        <f t="shared" si="5"/>
        <v>106.31</v>
      </c>
      <c r="P45" s="12"/>
      <c r="Q45" s="12"/>
      <c r="R45" s="20">
        <f>IFERROR(GETPIVOTDATA("[Measures].[Jrnl Posting Am]",'[1]Historical Summary Cube'!$AA$5,"[Accounting Period].[Fisc Yr]","[Accounting Period].[Fisc Yr].&amp;[2008]","[Object].[Object Group]","[Object].[Object Group].&amp;[42]","[Object].[Obj Group Nm]","[Object].[Obj Group Nm].&amp;[TRAVEL EXPENSES, IN STATE]"),0)</f>
        <v>12415.540000000003</v>
      </c>
      <c r="S45" s="20">
        <f>IFERROR(GETPIVOTDATA("[Measures].[Jrnl Posting Am]",'[1]Historical Summary Cube'!$AA$5,"[Accounting Period].[Fisc Yr]","[Accounting Period].[Fisc Yr].&amp;[2009]","[Object].[Object Group]","[Object].[Object Group].&amp;[42]","[Object].[Obj Group Nm]","[Object].[Obj Group Nm].&amp;[TRAVEL EXPENSES, IN STATE]"),0)</f>
        <v>1892.57</v>
      </c>
      <c r="T45" s="20">
        <f>IFERROR(GETPIVOTDATA("[Measures].[Jrnl Posting Am]",'[1]Historical Summary Cube'!$AA$5,"[Accounting Period].[Fisc Yr]","[Accounting Period].[Fisc Yr].&amp;[2010]","[Object].[Object Group]","[Object].[Object Group].&amp;[42]","[Object].[Obj Group Nm]","[Object].[Obj Group Nm].&amp;[TRAVEL EXPENSES, IN STATE]"),0)</f>
        <v>4180.3700000000026</v>
      </c>
      <c r="U45" s="20">
        <f>IFERROR(GETPIVOTDATA("[Measures].[Jrnl Posting Am]",'[1]Historical Summary Cube'!$AA$5,"[Accounting Period].[Fisc Yr]","[Accounting Period].[Fisc Yr].&amp;[2011]","[Object].[Object Group]","[Object].[Object Group].&amp;[42]","[Object].[Obj Group Nm]","[Object].[Obj Group Nm].&amp;[TRAVEL EXPENSES, IN STATE]"),0)</f>
        <v>4738.8499999999995</v>
      </c>
      <c r="V45" s="20">
        <f>IFERROR(GETPIVOTDATA("[Measures].[Jrnl Posting Am]",'[1]Historical Summary Cube'!$AA$5,"[Accounting Period].[Fisc Yr]","[Accounting Period].[Fisc Yr].&amp;[2012]","[Object].[Object Group]","[Object].[Object Group].&amp;[42]","[Object].[Obj Group Nm]","[Object].[Obj Group Nm].&amp;[TRAVEL EXPENSES, IN STATE]"),0)</f>
        <v>2226.44</v>
      </c>
      <c r="W45" s="20">
        <f>IFERROR(GETPIVOTDATA("[Measures].[Jrnl Posting Am]",'[1]Historical Summary Cube'!$AA$5,"[Accounting Period].[Fisc Yr]","[Accounting Period].[Fisc Yr].&amp;[2013]","[Object].[Object Group]","[Object].[Object Group].&amp;[42]","[Object].[Obj Group Nm]","[Object].[Obj Group Nm].&amp;[TRAVEL EXPENSES, IN STATE]"),0)</f>
        <v>2942.9400000000005</v>
      </c>
      <c r="X45" s="20">
        <f>IFERROR(GETPIVOTDATA("[Measures].[Jrnl Posting Am]",'[1]Historical Summary Cube'!$AA$5,"[Accounting Period].[Fisc Yr]","[Accounting Period].[Fisc Yr].&amp;[2014]","[Object].[Object Group]","[Object].[Object Group].&amp;[42]","[Object].[Obj Group Nm]","[Object].[Obj Group Nm].&amp;[TRAVEL EXPENSES, IN STATE]"),0)</f>
        <v>2645.64</v>
      </c>
      <c r="Y45" s="20">
        <f>IFERROR(GETPIVOTDATA("[Measures].[Jrnl Posting Am]",'[1]Historical Summary Cube'!$AA$5,"[Accounting Period].[Fisc Yr]","[Accounting Period].[Fisc Yr].&amp;[2015]","[Object].[Object Group]","[Object].[Object Group].&amp;[42]","[Object].[Obj Group Nm]","[Object].[Obj Group Nm].&amp;[TRAVEL EXPENSES, IN STATE]"),0)</f>
        <v>2713.67</v>
      </c>
      <c r="Z45" s="20">
        <f>IFERROR(GETPIVOTDATA("[Measures].[Jrnl Posting Am]",'[1]Historical Summary Cube'!$AA$5,"[Accounting Period].[Fisc Yr]","[Accounting Period].[Fisc Yr].&amp;[2016]","[Object].[Object Group]","[Object].[Object Group].&amp;[42]","[Object].[Obj Group Nm]","[Object].[Obj Group Nm].&amp;[TRAVEL EXPENSES, IN STATE]"),0)</f>
        <v>2573</v>
      </c>
      <c r="AA45" s="20">
        <f>IFERROR(GETPIVOTDATA("[Measures].[Jrnl Posting Am]",'[1]Historical Summary Cube'!$AA$5,"[Accounting Period].[Fisc Yr]","[Accounting Period].[Fisc Yr].&amp;[2017]","[Object].[Object Group]","[Object].[Object Group].&amp;[42]","[Object].[Obj Group Nm]","[Object].[Obj Group Nm].&amp;[TRAVEL EXPENSES, IN STATE]"),0)</f>
        <v>3232.4</v>
      </c>
      <c r="AB45" s="20">
        <f>IFERROR(GETPIVOTDATA("[Measures].[Jrnl Posting Am]",'[1]Historical Summary Cube'!$AA$5,"[Accounting Period].[Fisc Yr]","[Accounting Period].[Fisc Yr].&amp;[2018]","[Object].[Object Group]","[Object].[Object Group].&amp;[42]","[Object].[Obj Group Nm]","[Object].[Obj Group Nm].&amp;[TRAVEL EXPENSES, IN STATE]"),0)</f>
        <v>1947.1700000000003</v>
      </c>
      <c r="AC45" s="20">
        <f>IFERROR(GETPIVOTDATA("[Measures].[Jrnl Posting Am]",'[1]Historical Summary Cube'!$AA$5,"[Accounting Period].[Fisc Yr]","[Accounting Period].[Fisc Yr].&amp;[2019]","[Object].[Object Group]","[Object].[Object Group].&amp;[42]","[Object].[Obj Group Nm]","[Object].[Obj Group Nm].&amp;[TRAVEL EXPENSES, IN STATE]"),0)</f>
        <v>3292.9099999999994</v>
      </c>
      <c r="AD45" s="20">
        <f>IFERROR(GETPIVOTDATA("[Measures].[Jrnl Posting Am]",'[1]Historical Summary Cube'!$AA$5,"[Accounting Period].[Fisc Yr]","[Accounting Period].[Fisc Yr].&amp;[2020]","[Object].[Object Group]","[Object].[Object Group].&amp;[42]","[Object].[Obj Group Nm]","[Object].[Obj Group Nm].&amp;[TRAVEL EXPENSES, IN STATE]"),0)</f>
        <v>4310.99</v>
      </c>
      <c r="AE45" s="20">
        <f>IFERROR(GETPIVOTDATA("[Measures].[Jrnl Posting Am]",'[1]Historical Summary Cube'!$AA$5,"[Accounting Period].[Fisc Yr]","[Accounting Period].[Fisc Yr].&amp;[2021]","[Object].[Object Group]","[Object].[Object Group].&amp;[42]","[Object].[Obj Group Nm]","[Object].[Obj Group Nm].&amp;[TRAVEL EXPENSES, IN STATE]"),0)</f>
        <v>446.59999999999997</v>
      </c>
      <c r="AF45" s="20">
        <f>IFERROR(GETPIVOTDATA("[Measures].[Jrnl Posting Am]",'[1]Historical Summary Cube'!$AA$5,"[Accounting Period].[Fisc Yr]","[Accounting Period].[Fisc Yr].&amp;[2022]","[Object].[Object Group]","[Object].[Object Group].&amp;[42]","[Object].[Obj Group Nm]","[Object].[Obj Group Nm].&amp;[TRAVEL EXPENSES, IN STATE]"),0)</f>
        <v>284.27</v>
      </c>
      <c r="AG45" s="20">
        <f>IFERROR(GETPIVOTDATA("[Measures].[Jrnl Posting Am]",'[1]Historical Summary Cube'!$AA$5,"[Accounting Period].[Fisc Yr]","[Accounting Period].[Fisc Yr].&amp;[2023]","[Object].[Object Group]","[Object].[Object Group].&amp;[42]","[Object].[Obj Group Nm]","[Object].[Obj Group Nm].&amp;[TRAVEL EXPENSES, IN STATE]"),0)</f>
        <v>1107.07</v>
      </c>
      <c r="AH45" s="20">
        <f>IFERROR(GETPIVOTDATA("[Measures].[Jrnl Posting Am]",'[1]Historical Summary Cube'!$AA$5,"[Accounting Period].[Fisc Yr]","[Accounting Period].[Fisc Yr].&amp;[2024]","[Object].[Object Group]","[Object].[Object Group].&amp;[42]","[Object].[Obj Group Nm]","[Object].[Obj Group Nm].&amp;[TRAVEL EXPENSES, IN STATE]"),0)</f>
        <v>106.31</v>
      </c>
      <c r="AI45" s="11"/>
      <c r="AJ45" s="11"/>
    </row>
    <row r="46" spans="1:36" s="10" customFormat="1" ht="15.5" x14ac:dyDescent="0.35">
      <c r="A46" s="25" t="s">
        <v>58</v>
      </c>
      <c r="B46" s="30" t="s">
        <v>59</v>
      </c>
      <c r="C46" s="20">
        <v>626.83999999999992</v>
      </c>
      <c r="D46" s="20">
        <v>0</v>
      </c>
      <c r="E46" s="20">
        <v>1959.27</v>
      </c>
      <c r="F46" s="20">
        <v>227.14</v>
      </c>
      <c r="G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Period].&amp;[5]"),0)</f>
        <v>0</v>
      </c>
      <c r="H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Period].&amp;[6]"),0)</f>
        <v>0</v>
      </c>
      <c r="I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Period].&amp;[7]"),0)</f>
        <v>0</v>
      </c>
      <c r="J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Period].&amp;[8]"),0)</f>
        <v>0</v>
      </c>
      <c r="K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Period].&amp;[9]"),0)</f>
        <v>0</v>
      </c>
      <c r="L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Period].&amp;[10]"),0)</f>
        <v>0</v>
      </c>
      <c r="M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Period].&amp;[11]"),0)</f>
        <v>0</v>
      </c>
      <c r="N46" s="20">
        <f>IFERROR(GETPIVOTDATA("[Measures].[Jrnl Posting Am]",'[1]Historical Summary Cube'!$AA$73,"[Object].[Object Group]","[Object].[Object Group].&amp;[43]","[Object].[Obj Group Nm]","[Object].[Obj Group Nm].&amp;[TRAVEL EXPENSES, OUT OF STATE]","[Accounting Period].[Fisc Period]","[Accounting Period].[Fisc Period].&amp;[12]"),0)</f>
        <v>0</v>
      </c>
      <c r="O46" s="11">
        <f t="shared" si="5"/>
        <v>2813.2499999999995</v>
      </c>
      <c r="P46" s="12"/>
      <c r="Q46" s="12"/>
      <c r="R46" s="20">
        <f>IFERROR(GETPIVOTDATA("[Measures].[Jrnl Posting Am]",'[1]Historical Summary Cube'!$AA$5,"[Accounting Period].[Fisc Yr]","[Accounting Period].[Fisc Yr].&amp;[2008]","[Object].[Object Group]","[Object].[Object Group].&amp;[43]","[Object].[Obj Group Nm]","[Object].[Obj Group Nm].&amp;[TRAVEL EXPENSES, OUT OF STATE]"),0)</f>
        <v>2331.6999999999998</v>
      </c>
      <c r="S46" s="20">
        <f>IFERROR(GETPIVOTDATA("[Measures].[Jrnl Posting Am]",'[1]Historical Summary Cube'!$AA$5,"[Accounting Period].[Fisc Yr]","[Accounting Period].[Fisc Yr].&amp;[2009]","[Object].[Object Group]","[Object].[Object Group].&amp;[43]","[Object].[Obj Group Nm]","[Object].[Obj Group Nm].&amp;[TRAVEL EXPENSES, OUT OF STATE]"),0)</f>
        <v>3009.2200000000003</v>
      </c>
      <c r="T46" s="20">
        <f>IFERROR(GETPIVOTDATA("[Measures].[Jrnl Posting Am]",'[1]Historical Summary Cube'!$AA$5,"[Accounting Period].[Fisc Yr]","[Accounting Period].[Fisc Yr].&amp;[2010]","[Object].[Object Group]","[Object].[Object Group].&amp;[43]","[Object].[Obj Group Nm]","[Object].[Obj Group Nm].&amp;[TRAVEL EXPENSES, OUT OF STATE]"),0)</f>
        <v>2852.5499999999997</v>
      </c>
      <c r="U46" s="20">
        <f>IFERROR(GETPIVOTDATA("[Measures].[Jrnl Posting Am]",'[1]Historical Summary Cube'!$AA$5,"[Accounting Period].[Fisc Yr]","[Accounting Period].[Fisc Yr].&amp;[2011]","[Object].[Object Group]","[Object].[Object Group].&amp;[43]","[Object].[Obj Group Nm]","[Object].[Obj Group Nm].&amp;[TRAVEL EXPENSES, OUT OF STATE]"),0)</f>
        <v>7650.8799999999992</v>
      </c>
      <c r="V46" s="20">
        <f>IFERROR(GETPIVOTDATA("[Measures].[Jrnl Posting Am]",'[1]Historical Summary Cube'!$AA$5,"[Accounting Period].[Fisc Yr]","[Accounting Period].[Fisc Yr].&amp;[2012]","[Object].[Object Group]","[Object].[Object Group].&amp;[43]","[Object].[Obj Group Nm]","[Object].[Obj Group Nm].&amp;[TRAVEL EXPENSES, OUT OF STATE]"),0)</f>
        <v>8554.52</v>
      </c>
      <c r="W46" s="20">
        <f>IFERROR(GETPIVOTDATA("[Measures].[Jrnl Posting Am]",'[1]Historical Summary Cube'!$AA$5,"[Accounting Period].[Fisc Yr]","[Accounting Period].[Fisc Yr].&amp;[2013]","[Object].[Object Group]","[Object].[Object Group].&amp;[43]","[Object].[Obj Group Nm]","[Object].[Obj Group Nm].&amp;[TRAVEL EXPENSES, OUT OF STATE]"),0)</f>
        <v>2204.62</v>
      </c>
      <c r="X46" s="20">
        <f>IFERROR(GETPIVOTDATA("[Measures].[Jrnl Posting Am]",'[1]Historical Summary Cube'!$AA$5,"[Accounting Period].[Fisc Yr]","[Accounting Period].[Fisc Yr].&amp;[2014]","[Object].[Object Group]","[Object].[Object Group].&amp;[43]","[Object].[Obj Group Nm]","[Object].[Obj Group Nm].&amp;[TRAVEL EXPENSES, OUT OF STATE]"),0)</f>
        <v>5783.05</v>
      </c>
      <c r="Y46" s="20">
        <f>IFERROR(GETPIVOTDATA("[Measures].[Jrnl Posting Am]",'[1]Historical Summary Cube'!$AA$5,"[Accounting Period].[Fisc Yr]","[Accounting Period].[Fisc Yr].&amp;[2015]","[Object].[Object Group]","[Object].[Object Group].&amp;[43]","[Object].[Obj Group Nm]","[Object].[Obj Group Nm].&amp;[TRAVEL EXPENSES, OUT OF STATE]"),0)</f>
        <v>4234.33</v>
      </c>
      <c r="Z46" s="20">
        <f>IFERROR(GETPIVOTDATA("[Measures].[Jrnl Posting Am]",'[1]Historical Summary Cube'!$AA$5,"[Accounting Period].[Fisc Yr]","[Accounting Period].[Fisc Yr].&amp;[2016]","[Object].[Object Group]","[Object].[Object Group].&amp;[43]","[Object].[Obj Group Nm]","[Object].[Obj Group Nm].&amp;[TRAVEL EXPENSES, OUT OF STATE]"),0)</f>
        <v>8081.5300000000007</v>
      </c>
      <c r="AA46" s="20">
        <f>IFERROR(GETPIVOTDATA("[Measures].[Jrnl Posting Am]",'[1]Historical Summary Cube'!$AA$5,"[Accounting Period].[Fisc Yr]","[Accounting Period].[Fisc Yr].&amp;[2017]","[Object].[Object Group]","[Object].[Object Group].&amp;[43]","[Object].[Obj Group Nm]","[Object].[Obj Group Nm].&amp;[TRAVEL EXPENSES, OUT OF STATE]"),0)</f>
        <v>5154.38</v>
      </c>
      <c r="AB46" s="20">
        <f>IFERROR(GETPIVOTDATA("[Measures].[Jrnl Posting Am]",'[1]Historical Summary Cube'!$AA$5,"[Accounting Period].[Fisc Yr]","[Accounting Period].[Fisc Yr].&amp;[2018]","[Object].[Object Group]","[Object].[Object Group].&amp;[43]","[Object].[Obj Group Nm]","[Object].[Obj Group Nm].&amp;[TRAVEL EXPENSES, OUT OF STATE]"),0)</f>
        <v>6931.6900000000023</v>
      </c>
      <c r="AC46" s="20">
        <f>IFERROR(GETPIVOTDATA("[Measures].[Jrnl Posting Am]",'[1]Historical Summary Cube'!$AA$5,"[Accounting Period].[Fisc Yr]","[Accounting Period].[Fisc Yr].&amp;[2019]","[Object].[Object Group]","[Object].[Object Group].&amp;[43]","[Object].[Obj Group Nm]","[Object].[Obj Group Nm].&amp;[TRAVEL EXPENSES, OUT OF STATE]"),0)</f>
        <v>12080.220000000003</v>
      </c>
      <c r="AD46" s="20">
        <f>IFERROR(GETPIVOTDATA("[Measures].[Jrnl Posting Am]",'[1]Historical Summary Cube'!$AA$5,"[Accounting Period].[Fisc Yr]","[Accounting Period].[Fisc Yr].&amp;[2020]","[Object].[Object Group]","[Object].[Object Group].&amp;[43]","[Object].[Obj Group Nm]","[Object].[Obj Group Nm].&amp;[TRAVEL EXPENSES, OUT OF STATE]"),0)</f>
        <v>4938.4799999999996</v>
      </c>
      <c r="AE46" s="20">
        <f>IFERROR(GETPIVOTDATA("[Measures].[Jrnl Posting Am]",'[1]Historical Summary Cube'!$AA$5,"[Accounting Period].[Fisc Yr]","[Accounting Period].[Fisc Yr].&amp;[2021]","[Object].[Object Group]","[Object].[Object Group].&amp;[43]","[Object].[Obj Group Nm]","[Object].[Obj Group Nm].&amp;[TRAVEL EXPENSES, OUT OF STATE]"),0)</f>
        <v>0</v>
      </c>
      <c r="AF46" s="20">
        <f>IFERROR(GETPIVOTDATA("[Measures].[Jrnl Posting Am]",'[1]Historical Summary Cube'!$AA$5,"[Accounting Period].[Fisc Yr]","[Accounting Period].[Fisc Yr].&amp;[2022]","[Object].[Object Group]","[Object].[Object Group].&amp;[43]","[Object].[Obj Group Nm]","[Object].[Obj Group Nm].&amp;[TRAVEL EXPENSES, OUT OF STATE]"),0)</f>
        <v>266.86</v>
      </c>
      <c r="AG46" s="20">
        <f>IFERROR(GETPIVOTDATA("[Measures].[Jrnl Posting Am]",'[1]Historical Summary Cube'!$AA$5,"[Accounting Period].[Fisc Yr]","[Accounting Period].[Fisc Yr].&amp;[2023]","[Object].[Object Group]","[Object].[Object Group].&amp;[43]","[Object].[Obj Group Nm]","[Object].[Obj Group Nm].&amp;[TRAVEL EXPENSES, OUT OF STATE]"),0)</f>
        <v>5200.2300000000014</v>
      </c>
      <c r="AH46" s="20">
        <f>IFERROR(GETPIVOTDATA("[Measures].[Jrnl Posting Am]",'[1]Historical Summary Cube'!$AA$5,"[Accounting Period].[Fisc Yr]","[Accounting Period].[Fisc Yr].&amp;[2024]","[Object].[Object Group]","[Object].[Object Group].&amp;[43]","[Object].[Obj Group Nm]","[Object].[Obj Group Nm].&amp;[TRAVEL EXPENSES, OUT OF STATE]"),0)</f>
        <v>2813.25</v>
      </c>
      <c r="AI46" s="11"/>
      <c r="AJ46" s="11"/>
    </row>
    <row r="47" spans="1:36" s="10" customFormat="1" ht="15.5" x14ac:dyDescent="0.35">
      <c r="A47" s="25" t="s">
        <v>60</v>
      </c>
      <c r="B47" s="30" t="s">
        <v>61</v>
      </c>
      <c r="C47" s="20">
        <v>0</v>
      </c>
      <c r="D47" s="20">
        <v>0</v>
      </c>
      <c r="E47" s="20">
        <v>0</v>
      </c>
      <c r="F47" s="20">
        <v>0</v>
      </c>
      <c r="G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Period].&amp;[5]"),0)</f>
        <v>0</v>
      </c>
      <c r="H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Period].&amp;[6]"),0)</f>
        <v>0</v>
      </c>
      <c r="I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Period].&amp;[7]"),0)</f>
        <v>0</v>
      </c>
      <c r="J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Period].&amp;[8]"),0)</f>
        <v>0</v>
      </c>
      <c r="K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Period].&amp;[9]"),0)</f>
        <v>0</v>
      </c>
      <c r="L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Period].&amp;[10]"),0)</f>
        <v>0</v>
      </c>
      <c r="M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Period].&amp;[11]"),0)</f>
        <v>0</v>
      </c>
      <c r="N47" s="20">
        <f>IFERROR(GETPIVOTDATA("[Measures].[Jrnl Posting Am]",'[1]Historical Summary Cube'!$AA$73,"[Object].[Object Group]","[Object].[Object Group].&amp;[44]","[Object].[Obj Group Nm]","[Object].[Obj Group Nm].&amp;[STATE VEHICLES OPERATION]","[Accounting Period].[Fisc Period]","[Accounting Period].[Fisc Period].&amp;[12]"),0)</f>
        <v>0</v>
      </c>
      <c r="O47" s="11">
        <f t="shared" si="5"/>
        <v>0</v>
      </c>
      <c r="P47" s="12"/>
      <c r="Q47" s="12"/>
      <c r="R47" s="20">
        <f>IFERROR(GETPIVOTDATA("[Measures].[Jrnl Posting Am]",'[1]Historical Summary Cube'!$AA$5,"[Accounting Period].[Fisc Yr]","[Accounting Period].[Fisc Yr].&amp;[2008]","[Object].[Object Group]","[Object].[Object Group].&amp;[44]","[Object].[Obj Group Nm]","[Object].[Obj Group Nm].&amp;[STATE VEHICLES OPERATION]"),0)</f>
        <v>0</v>
      </c>
      <c r="S47" s="20">
        <f>IFERROR(GETPIVOTDATA("[Measures].[Jrnl Posting Am]",'[1]Historical Summary Cube'!$AA$5,"[Accounting Period].[Fisc Yr]","[Accounting Period].[Fisc Yr].&amp;[2009]","[Object].[Object Group]","[Object].[Object Group].&amp;[44]","[Object].[Obj Group Nm]","[Object].[Obj Group Nm].&amp;[STATE VEHICLES OPERATION]"),0)</f>
        <v>0</v>
      </c>
      <c r="T47" s="20">
        <f>IFERROR(GETPIVOTDATA("[Measures].[Jrnl Posting Am]",'[1]Historical Summary Cube'!$AA$5,"[Accounting Period].[Fisc Yr]","[Accounting Period].[Fisc Yr].&amp;[2010]","[Object].[Object Group]","[Object].[Object Group].&amp;[44]","[Object].[Obj Group Nm]","[Object].[Obj Group Nm].&amp;[STATE VEHICLES OPERATION]"),0)</f>
        <v>0</v>
      </c>
      <c r="U47" s="20">
        <f>IFERROR(GETPIVOTDATA("[Measures].[Jrnl Posting Am]",'[1]Historical Summary Cube'!$AA$5,"[Accounting Period].[Fisc Yr]","[Accounting Period].[Fisc Yr].&amp;[2011]","[Object].[Object Group]","[Object].[Object Group].&amp;[44]","[Object].[Obj Group Nm]","[Object].[Obj Group Nm].&amp;[STATE VEHICLES OPERATION]"),0)</f>
        <v>0</v>
      </c>
      <c r="V47" s="20">
        <f>IFERROR(GETPIVOTDATA("[Measures].[Jrnl Posting Am]",'[1]Historical Summary Cube'!$AA$5,"[Accounting Period].[Fisc Yr]","[Accounting Period].[Fisc Yr].&amp;[2012]","[Object].[Object Group]","[Object].[Object Group].&amp;[44]","[Object].[Obj Group Nm]","[Object].[Obj Group Nm].&amp;[STATE VEHICLES OPERATION]"),0)</f>
        <v>0</v>
      </c>
      <c r="W47" s="20">
        <f>IFERROR(GETPIVOTDATA("[Measures].[Jrnl Posting Am]",'[1]Historical Summary Cube'!$AA$5,"[Accounting Period].[Fisc Yr]","[Accounting Period].[Fisc Yr].&amp;[2013]","[Object].[Object Group]","[Object].[Object Group].&amp;[44]","[Object].[Obj Group Nm]","[Object].[Obj Group Nm].&amp;[STATE VEHICLES OPERATION]"),0)</f>
        <v>0</v>
      </c>
      <c r="X47" s="20">
        <f>IFERROR(GETPIVOTDATA("[Measures].[Jrnl Posting Am]",'[1]Historical Summary Cube'!$AA$5,"[Accounting Period].[Fisc Yr]","[Accounting Period].[Fisc Yr].&amp;[2014]","[Object].[Object Group]","[Object].[Object Group].&amp;[44]","[Object].[Obj Group Nm]","[Object].[Obj Group Nm].&amp;[STATE VEHICLES OPERATION]"),0)</f>
        <v>0</v>
      </c>
      <c r="Y47" s="20">
        <f>IFERROR(GETPIVOTDATA("[Measures].[Jrnl Posting Am]",'[1]Historical Summary Cube'!$AA$5,"[Accounting Period].[Fisc Yr]","[Accounting Period].[Fisc Yr].&amp;[2015]","[Object].[Object Group]","[Object].[Object Group].&amp;[44]","[Object].[Obj Group Nm]","[Object].[Obj Group Nm].&amp;[STATE VEHICLES OPERATION]"),0)</f>
        <v>0</v>
      </c>
      <c r="Z47" s="20">
        <f>IFERROR(GETPIVOTDATA("[Measures].[Jrnl Posting Am]",'[1]Historical Summary Cube'!$AA$5,"[Accounting Period].[Fisc Yr]","[Accounting Period].[Fisc Yr].&amp;[2016]","[Object].[Object Group]","[Object].[Object Group].&amp;[44]","[Object].[Obj Group Nm]","[Object].[Obj Group Nm].&amp;[STATE VEHICLES OPERATION]"),0)</f>
        <v>35.72</v>
      </c>
      <c r="AA47" s="20">
        <f>IFERROR(GETPIVOTDATA("[Measures].[Jrnl Posting Am]",'[1]Historical Summary Cube'!$AA$5,"[Accounting Period].[Fisc Yr]","[Accounting Period].[Fisc Yr].&amp;[2017]","[Object].[Object Group]","[Object].[Object Group].&amp;[44]","[Object].[Obj Group Nm]","[Object].[Obj Group Nm].&amp;[STATE VEHICLES OPERATION]"),0)</f>
        <v>0</v>
      </c>
      <c r="AB47" s="20">
        <f>IFERROR(GETPIVOTDATA("[Measures].[Jrnl Posting Am]",'[1]Historical Summary Cube'!$AA$5,"[Accounting Period].[Fisc Yr]","[Accounting Period].[Fisc Yr].&amp;[2018]","[Object].[Object Group]","[Object].[Object Group].&amp;[44]","[Object].[Obj Group Nm]","[Object].[Obj Group Nm].&amp;[STATE VEHICLES OPERATION]"),0)</f>
        <v>7</v>
      </c>
      <c r="AC47" s="20">
        <f>IFERROR(GETPIVOTDATA("[Measures].[Jrnl Posting Am]",'[1]Historical Summary Cube'!$AA$5,"[Accounting Period].[Fisc Yr]","[Accounting Period].[Fisc Yr].&amp;[2019]","[Object].[Object Group]","[Object].[Object Group].&amp;[44]","[Object].[Obj Group Nm]","[Object].[Obj Group Nm].&amp;[STATE VEHICLES OPERATION]"),0)</f>
        <v>0</v>
      </c>
      <c r="AD47" s="20">
        <f>IFERROR(GETPIVOTDATA("[Measures].[Jrnl Posting Am]",'[1]Historical Summary Cube'!$AA$5,"[Accounting Period].[Fisc Yr]","[Accounting Period].[Fisc Yr].&amp;[2020]","[Object].[Object Group]","[Object].[Object Group].&amp;[44]","[Object].[Obj Group Nm]","[Object].[Obj Group Nm].&amp;[STATE VEHICLES OPERATION]"),0)</f>
        <v>0</v>
      </c>
      <c r="AE47" s="20">
        <f>IFERROR(GETPIVOTDATA("[Measures].[Jrnl Posting Am]",'[1]Historical Summary Cube'!$AA$5,"[Accounting Period].[Fisc Yr]","[Accounting Period].[Fisc Yr].&amp;[2021]","[Object].[Object Group]","[Object].[Object Group].&amp;[44]","[Object].[Obj Group Nm]","[Object].[Obj Group Nm].&amp;[STATE VEHICLES OPERATION]"),0)</f>
        <v>0</v>
      </c>
      <c r="AF47" s="20">
        <f>IFERROR(GETPIVOTDATA("[Measures].[Jrnl Posting Am]",'[1]Historical Summary Cube'!$AA$5,"[Accounting Period].[Fisc Yr]","[Accounting Period].[Fisc Yr].&amp;[2022]","[Object].[Object Group]","[Object].[Object Group].&amp;[44]","[Object].[Obj Group Nm]","[Object].[Obj Group Nm].&amp;[STATE VEHICLES OPERATION]"),0)</f>
        <v>0</v>
      </c>
      <c r="AG47" s="20">
        <f>IFERROR(GETPIVOTDATA("[Measures].[Jrnl Posting Am]",'[1]Historical Summary Cube'!$AA$5,"[Accounting Period].[Fisc Yr]","[Accounting Period].[Fisc Yr].&amp;[2023]","[Object].[Object Group]","[Object].[Object Group].&amp;[44]","[Object].[Obj Group Nm]","[Object].[Obj Group Nm].&amp;[STATE VEHICLES OPERATION]"),0)</f>
        <v>0</v>
      </c>
      <c r="AH47" s="20">
        <f>IFERROR(GETPIVOTDATA("[Measures].[Jrnl Posting Am]",'[1]Historical Summary Cube'!$AA$5,"[Accounting Period].[Fisc Yr]","[Accounting Period].[Fisc Yr].&amp;[2024]","[Object].[Object Group]","[Object].[Object Group].&amp;[44]","[Object].[Obj Group Nm]","[Object].[Obj Group Nm].&amp;[STATE VEHICLES OPERATION]"),0)</f>
        <v>0</v>
      </c>
      <c r="AI47" s="11"/>
      <c r="AJ47" s="11"/>
    </row>
    <row r="48" spans="1:36" s="10" customFormat="1" ht="15.5" x14ac:dyDescent="0.35">
      <c r="A48" s="25" t="s">
        <v>62</v>
      </c>
      <c r="B48" s="30" t="s">
        <v>63</v>
      </c>
      <c r="C48" s="20">
        <v>0</v>
      </c>
      <c r="D48" s="20">
        <v>0</v>
      </c>
      <c r="E48" s="20">
        <v>0</v>
      </c>
      <c r="F48" s="20">
        <v>0</v>
      </c>
      <c r="G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Period].&amp;[5]"),0)</f>
        <v>0</v>
      </c>
      <c r="H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Period].&amp;[6]"),0)</f>
        <v>0</v>
      </c>
      <c r="I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Period].&amp;[7]"),0)</f>
        <v>0</v>
      </c>
      <c r="J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Period].&amp;[8]"),0)</f>
        <v>0</v>
      </c>
      <c r="K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Period].&amp;[9]"),0)</f>
        <v>0</v>
      </c>
      <c r="L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Period].&amp;[10]"),0)</f>
        <v>0</v>
      </c>
      <c r="M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Period].&amp;[11]"),0)</f>
        <v>0</v>
      </c>
      <c r="N48" s="20">
        <f>IFERROR(GETPIVOTDATA("[Measures].[Jrnl Posting Am]",'[1]Historical Summary Cube'!$AA$73,"[Object].[Object Group]","[Object].[Object Group].&amp;[45]","[Object].[Obj Group Nm]","[Object].[Obj Group Nm].&amp;[UTILITY SERVICES]","[Accounting Period].[Fisc Period]","[Accounting Period].[Fisc Period].&amp;[12]"),0)</f>
        <v>0</v>
      </c>
      <c r="O48" s="11">
        <f t="shared" si="5"/>
        <v>0</v>
      </c>
      <c r="P48" s="12"/>
      <c r="Q48" s="12"/>
      <c r="R48" s="20">
        <f>IFERROR(GETPIVOTDATA("[Measures].[Jrnl Posting Am]",'[1]Historical Summary Cube'!$AA$5,"[Accounting Period].[Fisc Yr]","[Accounting Period].[Fisc Yr].&amp;[2008]","[Object].[Object Group]","[Object].[Object Group].&amp;[45]","[Object].[Obj Group Nm]","[Object].[Obj Group Nm].&amp;[UTILITY SERVICES]"),0)</f>
        <v>99.63000000000001</v>
      </c>
      <c r="S48" s="20">
        <f>IFERROR(GETPIVOTDATA("[Measures].[Jrnl Posting Am]",'[1]Historical Summary Cube'!$AA$5,"[Accounting Period].[Fisc Yr]","[Accounting Period].[Fisc Yr].&amp;[2009]","[Object].[Object Group]","[Object].[Object Group].&amp;[45]","[Object].[Obj Group Nm]","[Object].[Obj Group Nm].&amp;[UTILITY SERVICES]"),0)</f>
        <v>94.75</v>
      </c>
      <c r="T48" s="20">
        <f>IFERROR(GETPIVOTDATA("[Measures].[Jrnl Posting Am]",'[1]Historical Summary Cube'!$AA$5,"[Accounting Period].[Fisc Yr]","[Accounting Period].[Fisc Yr].&amp;[2010]","[Object].[Object Group]","[Object].[Object Group].&amp;[45]","[Object].[Obj Group Nm]","[Object].[Obj Group Nm].&amp;[UTILITY SERVICES]"),0)</f>
        <v>100.18999999999998</v>
      </c>
      <c r="U48" s="20">
        <f>IFERROR(GETPIVOTDATA("[Measures].[Jrnl Posting Am]",'[1]Historical Summary Cube'!$AA$5,"[Accounting Period].[Fisc Yr]","[Accounting Period].[Fisc Yr].&amp;[2011]","[Object].[Object Group]","[Object].[Object Group].&amp;[45]","[Object].[Obj Group Nm]","[Object].[Obj Group Nm].&amp;[UTILITY SERVICES]"),0)</f>
        <v>101.25999999999998</v>
      </c>
      <c r="V48" s="20">
        <f>IFERROR(GETPIVOTDATA("[Measures].[Jrnl Posting Am]",'[1]Historical Summary Cube'!$AA$5,"[Accounting Period].[Fisc Yr]","[Accounting Period].[Fisc Yr].&amp;[2012]","[Object].[Object Group]","[Object].[Object Group].&amp;[45]","[Object].[Obj Group Nm]","[Object].[Obj Group Nm].&amp;[UTILITY SERVICES]"),0)</f>
        <v>27.669999999999998</v>
      </c>
      <c r="W48" s="20">
        <f>IFERROR(GETPIVOTDATA("[Measures].[Jrnl Posting Am]",'[1]Historical Summary Cube'!$AA$5,"[Accounting Period].[Fisc Yr]","[Accounting Period].[Fisc Yr].&amp;[2013]","[Object].[Object Group]","[Object].[Object Group].&amp;[45]","[Object].[Obj Group Nm]","[Object].[Obj Group Nm].&amp;[UTILITY SERVICES]"),0)</f>
        <v>0</v>
      </c>
      <c r="X48" s="20">
        <f>IFERROR(GETPIVOTDATA("[Measures].[Jrnl Posting Am]",'[1]Historical Summary Cube'!$AA$5,"[Accounting Period].[Fisc Yr]","[Accounting Period].[Fisc Yr].&amp;[2014]","[Object].[Object Group]","[Object].[Object Group].&amp;[45]","[Object].[Obj Group Nm]","[Object].[Obj Group Nm].&amp;[UTILITY SERVICES]"),0)</f>
        <v>0</v>
      </c>
      <c r="Y48" s="20">
        <f>IFERROR(GETPIVOTDATA("[Measures].[Jrnl Posting Am]",'[1]Historical Summary Cube'!$AA$5,"[Accounting Period].[Fisc Yr]","[Accounting Period].[Fisc Yr].&amp;[2015]","[Object].[Object Group]","[Object].[Object Group].&amp;[45]","[Object].[Obj Group Nm]","[Object].[Obj Group Nm].&amp;[UTILITY SERVICES]"),0)</f>
        <v>0</v>
      </c>
      <c r="Z48" s="20">
        <f>IFERROR(GETPIVOTDATA("[Measures].[Jrnl Posting Am]",'[1]Historical Summary Cube'!$AA$5,"[Accounting Period].[Fisc Yr]","[Accounting Period].[Fisc Yr].&amp;[2016]","[Object].[Object Group]","[Object].[Object Group].&amp;[45]","[Object].[Obj Group Nm]","[Object].[Obj Group Nm].&amp;[UTILITY SERVICES]"),0)</f>
        <v>0</v>
      </c>
      <c r="AA48" s="20">
        <f>IFERROR(GETPIVOTDATA("[Measures].[Jrnl Posting Am]",'[1]Historical Summary Cube'!$AA$5,"[Accounting Period].[Fisc Yr]","[Accounting Period].[Fisc Yr].&amp;[2017]","[Object].[Object Group]","[Object].[Object Group].&amp;[45]","[Object].[Obj Group Nm]","[Object].[Obj Group Nm].&amp;[UTILITY SERVICES]"),0)</f>
        <v>0</v>
      </c>
      <c r="AB48" s="20">
        <f>IFERROR(GETPIVOTDATA("[Measures].[Jrnl Posting Am]",'[1]Historical Summary Cube'!$AA$5,"[Accounting Period].[Fisc Yr]","[Accounting Period].[Fisc Yr].&amp;[2018]","[Object].[Object Group]","[Object].[Object Group].&amp;[45]","[Object].[Obj Group Nm]","[Object].[Obj Group Nm].&amp;[UTILITY SERVICES]"),0)</f>
        <v>0</v>
      </c>
      <c r="AC48" s="20">
        <f>IFERROR(GETPIVOTDATA("[Measures].[Jrnl Posting Am]",'[1]Historical Summary Cube'!$AA$5,"[Accounting Period].[Fisc Yr]","[Accounting Period].[Fisc Yr].&amp;[2019]","[Object].[Object Group]","[Object].[Object Group].&amp;[45]","[Object].[Obj Group Nm]","[Object].[Obj Group Nm].&amp;[UTILITY SERVICES]"),0)</f>
        <v>0</v>
      </c>
      <c r="AD48" s="20">
        <f>IFERROR(GETPIVOTDATA("[Measures].[Jrnl Posting Am]",'[1]Historical Summary Cube'!$AA$5,"[Accounting Period].[Fisc Yr]","[Accounting Period].[Fisc Yr].&amp;[2020]","[Object].[Object Group]","[Object].[Object Group].&amp;[45]","[Object].[Obj Group Nm]","[Object].[Obj Group Nm].&amp;[UTILITY SERVICES]"),0)</f>
        <v>0</v>
      </c>
      <c r="AE48" s="20">
        <f>IFERROR(GETPIVOTDATA("[Measures].[Jrnl Posting Am]",'[1]Historical Summary Cube'!$AA$5,"[Accounting Period].[Fisc Yr]","[Accounting Period].[Fisc Yr].&amp;[2021]","[Object].[Object Group]","[Object].[Object Group].&amp;[45]","[Object].[Obj Group Nm]","[Object].[Obj Group Nm].&amp;[UTILITY SERVICES]"),0)</f>
        <v>19.940000000000001</v>
      </c>
      <c r="AF48" s="20">
        <f>IFERROR(GETPIVOTDATA("[Measures].[Jrnl Posting Am]",'[1]Historical Summary Cube'!$AA$5,"[Accounting Period].[Fisc Yr]","[Accounting Period].[Fisc Yr].&amp;[2022]","[Object].[Object Group]","[Object].[Object Group].&amp;[45]","[Object].[Obj Group Nm]","[Object].[Obj Group Nm].&amp;[UTILITY SERVICES]"),0)</f>
        <v>0</v>
      </c>
      <c r="AG48" s="20">
        <f>IFERROR(GETPIVOTDATA("[Measures].[Jrnl Posting Am]",'[1]Historical Summary Cube'!$AA$5,"[Accounting Period].[Fisc Yr]","[Accounting Period].[Fisc Yr].&amp;[2023]","[Object].[Object Group]","[Object].[Object Group].&amp;[45]","[Object].[Obj Group Nm]","[Object].[Obj Group Nm].&amp;[UTILITY SERVICES]"),0)</f>
        <v>0</v>
      </c>
      <c r="AH48" s="20">
        <f>IFERROR(GETPIVOTDATA("[Measures].[Jrnl Posting Am]",'[1]Historical Summary Cube'!$AA$5,"[Accounting Period].[Fisc Yr]","[Accounting Period].[Fisc Yr].&amp;[2024]","[Object].[Object Group]","[Object].[Object Group].&amp;[45]","[Object].[Obj Group Nm]","[Object].[Obj Group Nm].&amp;[UTILITY SERVICES]"),0)</f>
        <v>0</v>
      </c>
      <c r="AI48" s="11"/>
      <c r="AJ48" s="11"/>
    </row>
    <row r="49" spans="1:36" s="10" customFormat="1" ht="15.5" x14ac:dyDescent="0.35">
      <c r="A49" s="25" t="s">
        <v>64</v>
      </c>
      <c r="B49" s="30" t="s">
        <v>65</v>
      </c>
      <c r="C49" s="20">
        <v>0</v>
      </c>
      <c r="D49" s="20">
        <v>0</v>
      </c>
      <c r="E49" s="20">
        <v>4576.42</v>
      </c>
      <c r="F49" s="20">
        <v>0</v>
      </c>
      <c r="G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Period].&amp;[5]"),0)</f>
        <v>0</v>
      </c>
      <c r="H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Period].&amp;[6]"),0)</f>
        <v>0</v>
      </c>
      <c r="I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Period].&amp;[7]"),0)</f>
        <v>0</v>
      </c>
      <c r="J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Period].&amp;[8]"),0)</f>
        <v>0</v>
      </c>
      <c r="K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Period].&amp;[9]"),0)</f>
        <v>0</v>
      </c>
      <c r="L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Period].&amp;[10]"),0)</f>
        <v>0</v>
      </c>
      <c r="M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Period].&amp;[11]"),0)</f>
        <v>0</v>
      </c>
      <c r="N49" s="20">
        <f>IFERROR(GETPIVOTDATA("[Measures].[Jrnl Posting Am]",'[1]Historical Summary Cube'!$AA$73,"[Object].[Object Group]","[Object].[Object Group].&amp;[46]","[Object].[Obj Group Nm]","[Object].[Obj Group Nm].&amp;[RENTS]","[Accounting Period].[Fisc Period]","[Accounting Period].[Fisc Period].&amp;[12]"),0)</f>
        <v>0</v>
      </c>
      <c r="O49" s="11">
        <f t="shared" si="5"/>
        <v>4576.42</v>
      </c>
      <c r="P49" s="12"/>
      <c r="Q49" s="12"/>
      <c r="R49" s="20">
        <f>IFERROR(GETPIVOTDATA("[Measures].[Jrnl Posting Am]",'[1]Historical Summary Cube'!$AA$5,"[Accounting Period].[Fisc Yr]","[Accounting Period].[Fisc Yr].&amp;[2008]","[Object].[Object Group]","[Object].[Object Group].&amp;[46]","[Object].[Obj Group Nm]","[Object].[Obj Group Nm].&amp;[RENTS]"),0)</f>
        <v>6341.329999999999</v>
      </c>
      <c r="S49" s="20">
        <f>IFERROR(GETPIVOTDATA("[Measures].[Jrnl Posting Am]",'[1]Historical Summary Cube'!$AA$5,"[Accounting Period].[Fisc Yr]","[Accounting Period].[Fisc Yr].&amp;[2009]","[Object].[Object Group]","[Object].[Object Group].&amp;[46]","[Object].[Obj Group Nm]","[Object].[Obj Group Nm].&amp;[RENTS]"),0)</f>
        <v>7813.8300000000008</v>
      </c>
      <c r="T49" s="20">
        <f>IFERROR(GETPIVOTDATA("[Measures].[Jrnl Posting Am]",'[1]Historical Summary Cube'!$AA$5,"[Accounting Period].[Fisc Yr]","[Accounting Period].[Fisc Yr].&amp;[2010]","[Object].[Object Group]","[Object].[Object Group].&amp;[46]","[Object].[Obj Group Nm]","[Object].[Obj Group Nm].&amp;[RENTS]"),0)</f>
        <v>12963.7</v>
      </c>
      <c r="U49" s="20">
        <f>IFERROR(GETPIVOTDATA("[Measures].[Jrnl Posting Am]",'[1]Historical Summary Cube'!$AA$5,"[Accounting Period].[Fisc Yr]","[Accounting Period].[Fisc Yr].&amp;[2011]","[Object].[Object Group]","[Object].[Object Group].&amp;[46]","[Object].[Obj Group Nm]","[Object].[Obj Group Nm].&amp;[RENTS]"),0)</f>
        <v>15713.18</v>
      </c>
      <c r="V49" s="20">
        <f>IFERROR(GETPIVOTDATA("[Measures].[Jrnl Posting Am]",'[1]Historical Summary Cube'!$AA$5,"[Accounting Period].[Fisc Yr]","[Accounting Period].[Fisc Yr].&amp;[2012]","[Object].[Object Group]","[Object].[Object Group].&amp;[46]","[Object].[Obj Group Nm]","[Object].[Obj Group Nm].&amp;[RENTS]"),0)</f>
        <v>13275.68</v>
      </c>
      <c r="W49" s="20">
        <f>IFERROR(GETPIVOTDATA("[Measures].[Jrnl Posting Am]",'[1]Historical Summary Cube'!$AA$5,"[Accounting Period].[Fisc Yr]","[Accounting Period].[Fisc Yr].&amp;[2013]","[Object].[Object Group]","[Object].[Object Group].&amp;[46]","[Object].[Obj Group Nm]","[Object].[Obj Group Nm].&amp;[RENTS]"),0)</f>
        <v>15305.899999999998</v>
      </c>
      <c r="X49" s="20">
        <f>IFERROR(GETPIVOTDATA("[Measures].[Jrnl Posting Am]",'[1]Historical Summary Cube'!$AA$5,"[Accounting Period].[Fisc Yr]","[Accounting Period].[Fisc Yr].&amp;[2014]","[Object].[Object Group]","[Object].[Object Group].&amp;[46]","[Object].[Obj Group Nm]","[Object].[Obj Group Nm].&amp;[RENTS]"),0)</f>
        <v>11931.130000000001</v>
      </c>
      <c r="Y49" s="20">
        <f>IFERROR(GETPIVOTDATA("[Measures].[Jrnl Posting Am]",'[1]Historical Summary Cube'!$AA$5,"[Accounting Period].[Fisc Yr]","[Accounting Period].[Fisc Yr].&amp;[2015]","[Object].[Object Group]","[Object].[Object Group].&amp;[46]","[Object].[Obj Group Nm]","[Object].[Obj Group Nm].&amp;[RENTS]"),0)</f>
        <v>8052.8700000000008</v>
      </c>
      <c r="Z49" s="20">
        <f>IFERROR(GETPIVOTDATA("[Measures].[Jrnl Posting Am]",'[1]Historical Summary Cube'!$AA$5,"[Accounting Period].[Fisc Yr]","[Accounting Period].[Fisc Yr].&amp;[2016]","[Object].[Object Group]","[Object].[Object Group].&amp;[46]","[Object].[Obj Group Nm]","[Object].[Obj Group Nm].&amp;[RENTS]"),0)</f>
        <v>9422.26</v>
      </c>
      <c r="AA49" s="20">
        <f>IFERROR(GETPIVOTDATA("[Measures].[Jrnl Posting Am]",'[1]Historical Summary Cube'!$AA$5,"[Accounting Period].[Fisc Yr]","[Accounting Period].[Fisc Yr].&amp;[2017]","[Object].[Object Group]","[Object].[Object Group].&amp;[46]","[Object].[Obj Group Nm]","[Object].[Obj Group Nm].&amp;[RENTS]"),0)</f>
        <v>12340.089999999998</v>
      </c>
      <c r="AB49" s="20">
        <f>IFERROR(GETPIVOTDATA("[Measures].[Jrnl Posting Am]",'[1]Historical Summary Cube'!$AA$5,"[Accounting Period].[Fisc Yr]","[Accounting Period].[Fisc Yr].&amp;[2018]","[Object].[Object Group]","[Object].[Object Group].&amp;[46]","[Object].[Obj Group Nm]","[Object].[Obj Group Nm].&amp;[RENTS]"),0)</f>
        <v>12427.230000000001</v>
      </c>
      <c r="AC49" s="20">
        <f>IFERROR(GETPIVOTDATA("[Measures].[Jrnl Posting Am]",'[1]Historical Summary Cube'!$AA$5,"[Accounting Period].[Fisc Yr]","[Accounting Period].[Fisc Yr].&amp;[2019]","[Object].[Object Group]","[Object].[Object Group].&amp;[46]","[Object].[Obj Group Nm]","[Object].[Obj Group Nm].&amp;[RENTS]"),0)</f>
        <v>12378.369999999999</v>
      </c>
      <c r="AD49" s="20">
        <f>IFERROR(GETPIVOTDATA("[Measures].[Jrnl Posting Am]",'[1]Historical Summary Cube'!$AA$5,"[Accounting Period].[Fisc Yr]","[Accounting Period].[Fisc Yr].&amp;[2020]","[Object].[Object Group]","[Object].[Object Group].&amp;[46]","[Object].[Obj Group Nm]","[Object].[Obj Group Nm].&amp;[RENTS]"),0)</f>
        <v>18652.109999999997</v>
      </c>
      <c r="AE49" s="20">
        <f>IFERROR(GETPIVOTDATA("[Measures].[Jrnl Posting Am]",'[1]Historical Summary Cube'!$AA$5,"[Accounting Period].[Fisc Yr]","[Accounting Period].[Fisc Yr].&amp;[2021]","[Object].[Object Group]","[Object].[Object Group].&amp;[46]","[Object].[Obj Group Nm]","[Object].[Obj Group Nm].&amp;[RENTS]"),0)</f>
        <v>14111.71</v>
      </c>
      <c r="AF49" s="20">
        <f>IFERROR(GETPIVOTDATA("[Measures].[Jrnl Posting Am]",'[1]Historical Summary Cube'!$AA$5,"[Accounting Period].[Fisc Yr]","[Accounting Period].[Fisc Yr].&amp;[2022]","[Object].[Object Group]","[Object].[Object Group].&amp;[46]","[Object].[Obj Group Nm]","[Object].[Obj Group Nm].&amp;[RENTS]"),0)</f>
        <v>14704.88</v>
      </c>
      <c r="AG49" s="20">
        <f>IFERROR(GETPIVOTDATA("[Measures].[Jrnl Posting Am]",'[1]Historical Summary Cube'!$AA$5,"[Accounting Period].[Fisc Yr]","[Accounting Period].[Fisc Yr].&amp;[2023]","[Object].[Object Group]","[Object].[Object Group].&amp;[46]","[Object].[Obj Group Nm]","[Object].[Obj Group Nm].&amp;[RENTS]"),0)</f>
        <v>14272.529999999999</v>
      </c>
      <c r="AH49" s="20">
        <f>IFERROR(GETPIVOTDATA("[Measures].[Jrnl Posting Am]",'[1]Historical Summary Cube'!$AA$5,"[Accounting Period].[Fisc Yr]","[Accounting Period].[Fisc Yr].&amp;[2024]","[Object].[Object Group]","[Object].[Object Group].&amp;[46]","[Object].[Obj Group Nm]","[Object].[Obj Group Nm].&amp;[RENTS]"),0)</f>
        <v>4576.42</v>
      </c>
      <c r="AI49" s="11"/>
      <c r="AJ49" s="11"/>
    </row>
    <row r="50" spans="1:36" s="10" customFormat="1" ht="15.5" x14ac:dyDescent="0.35">
      <c r="A50" s="25" t="s">
        <v>66</v>
      </c>
      <c r="B50" s="30" t="s">
        <v>67</v>
      </c>
      <c r="C50" s="20">
        <v>0</v>
      </c>
      <c r="D50" s="20">
        <v>0</v>
      </c>
      <c r="E50" s="20">
        <v>0</v>
      </c>
      <c r="F50" s="20">
        <v>0</v>
      </c>
      <c r="G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Period].&amp;[5]"),0)</f>
        <v>0</v>
      </c>
      <c r="H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Period].&amp;[6]"),0)</f>
        <v>0</v>
      </c>
      <c r="I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Period].&amp;[7]"),0)</f>
        <v>0</v>
      </c>
      <c r="J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Period].&amp;[8]"),0)</f>
        <v>0</v>
      </c>
      <c r="K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Period].&amp;[9]"),0)</f>
        <v>0</v>
      </c>
      <c r="L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Period].&amp;[10]"),0)</f>
        <v>0</v>
      </c>
      <c r="M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Period].&amp;[11]"),0)</f>
        <v>0</v>
      </c>
      <c r="N50" s="20">
        <f>IFERROR(GETPIVOTDATA("[Measures].[Jrnl Posting Am]",'[1]Historical Summary Cube'!$AA$73,"[Object].[Object Group]","[Object].[Object Group].&amp;[47]","[Object].[Obj Group Nm]","[Object].[Obj Group Nm].&amp;[REPAIRS]","[Accounting Period].[Fisc Period]","[Accounting Period].[Fisc Period].&amp;[12]"),0)</f>
        <v>0</v>
      </c>
      <c r="O50" s="11">
        <f t="shared" si="5"/>
        <v>0</v>
      </c>
      <c r="P50" s="12"/>
      <c r="Q50" s="12"/>
      <c r="R50" s="20">
        <f>IFERROR(GETPIVOTDATA("[Measures].[Jrnl Posting Am]",'[1]Historical Summary Cube'!$AA$5,"[Accounting Period].[Fisc Yr]","[Accounting Period].[Fisc Yr].&amp;[2008]","[Object].[Object Group]","[Object].[Object Group].&amp;[47]","[Object].[Obj Group Nm]","[Object].[Obj Group Nm].&amp;[REPAIRS]"),0)</f>
        <v>0</v>
      </c>
      <c r="S50" s="20">
        <f>IFERROR(GETPIVOTDATA("[Measures].[Jrnl Posting Am]",'[1]Historical Summary Cube'!$AA$5,"[Accounting Period].[Fisc Yr]","[Accounting Period].[Fisc Yr].&amp;[2009]","[Object].[Object Group]","[Object].[Object Group].&amp;[47]","[Object].[Obj Group Nm]","[Object].[Obj Group Nm].&amp;[REPAIRS]"),0)</f>
        <v>0</v>
      </c>
      <c r="T50" s="20">
        <f>IFERROR(GETPIVOTDATA("[Measures].[Jrnl Posting Am]",'[1]Historical Summary Cube'!$AA$5,"[Accounting Period].[Fisc Yr]","[Accounting Period].[Fisc Yr].&amp;[2010]","[Object].[Object Group]","[Object].[Object Group].&amp;[47]","[Object].[Obj Group Nm]","[Object].[Obj Group Nm].&amp;[REPAIRS]"),0)</f>
        <v>15</v>
      </c>
      <c r="U50" s="20">
        <f>IFERROR(GETPIVOTDATA("[Measures].[Jrnl Posting Am]",'[1]Historical Summary Cube'!$AA$5,"[Accounting Period].[Fisc Yr]","[Accounting Period].[Fisc Yr].&amp;[2011]","[Object].[Object Group]","[Object].[Object Group].&amp;[47]","[Object].[Obj Group Nm]","[Object].[Obj Group Nm].&amp;[REPAIRS]"),0)</f>
        <v>0</v>
      </c>
      <c r="V50" s="20">
        <f>IFERROR(GETPIVOTDATA("[Measures].[Jrnl Posting Am]",'[1]Historical Summary Cube'!$AA$5,"[Accounting Period].[Fisc Yr]","[Accounting Period].[Fisc Yr].&amp;[2012]","[Object].[Object Group]","[Object].[Object Group].&amp;[47]","[Object].[Obj Group Nm]","[Object].[Obj Group Nm].&amp;[REPAIRS]"),0)</f>
        <v>0</v>
      </c>
      <c r="W50" s="20">
        <f>IFERROR(GETPIVOTDATA("[Measures].[Jrnl Posting Am]",'[1]Historical Summary Cube'!$AA$5,"[Accounting Period].[Fisc Yr]","[Accounting Period].[Fisc Yr].&amp;[2013]","[Object].[Object Group]","[Object].[Object Group].&amp;[47]","[Object].[Obj Group Nm]","[Object].[Obj Group Nm].&amp;[REPAIRS]"),0)</f>
        <v>0</v>
      </c>
      <c r="X50" s="20">
        <f>IFERROR(GETPIVOTDATA("[Measures].[Jrnl Posting Am]",'[1]Historical Summary Cube'!$AA$5,"[Accounting Period].[Fisc Yr]","[Accounting Period].[Fisc Yr].&amp;[2014]","[Object].[Object Group]","[Object].[Object Group].&amp;[47]","[Object].[Obj Group Nm]","[Object].[Obj Group Nm].&amp;[REPAIRS]"),0)</f>
        <v>99.95</v>
      </c>
      <c r="Y50" s="20">
        <f>IFERROR(GETPIVOTDATA("[Measures].[Jrnl Posting Am]",'[1]Historical Summary Cube'!$AA$5,"[Accounting Period].[Fisc Yr]","[Accounting Period].[Fisc Yr].&amp;[2015]","[Object].[Object Group]","[Object].[Object Group].&amp;[47]","[Object].[Obj Group Nm]","[Object].[Obj Group Nm].&amp;[REPAIRS]"),0)</f>
        <v>107.91</v>
      </c>
      <c r="Z50" s="20">
        <f>IFERROR(GETPIVOTDATA("[Measures].[Jrnl Posting Am]",'[1]Historical Summary Cube'!$AA$5,"[Accounting Period].[Fisc Yr]","[Accounting Period].[Fisc Yr].&amp;[2016]","[Object].[Object Group]","[Object].[Object Group].&amp;[47]","[Object].[Obj Group Nm]","[Object].[Obj Group Nm].&amp;[REPAIRS]"),0)</f>
        <v>0</v>
      </c>
      <c r="AA50" s="20">
        <f>IFERROR(GETPIVOTDATA("[Measures].[Jrnl Posting Am]",'[1]Historical Summary Cube'!$AA$5,"[Accounting Period].[Fisc Yr]","[Accounting Period].[Fisc Yr].&amp;[2017]","[Object].[Object Group]","[Object].[Object Group].&amp;[47]","[Object].[Obj Group Nm]","[Object].[Obj Group Nm].&amp;[REPAIRS]"),0)</f>
        <v>42.66</v>
      </c>
      <c r="AB50" s="20">
        <f>IFERROR(GETPIVOTDATA("[Measures].[Jrnl Posting Am]",'[1]Historical Summary Cube'!$AA$5,"[Accounting Period].[Fisc Yr]","[Accounting Period].[Fisc Yr].&amp;[2018]","[Object].[Object Group]","[Object].[Object Group].&amp;[47]","[Object].[Obj Group Nm]","[Object].[Obj Group Nm].&amp;[REPAIRS]"),0)</f>
        <v>0</v>
      </c>
      <c r="AC50" s="20">
        <f>IFERROR(GETPIVOTDATA("[Measures].[Jrnl Posting Am]",'[1]Historical Summary Cube'!$AA$5,"[Accounting Period].[Fisc Yr]","[Accounting Period].[Fisc Yr].&amp;[2019]","[Object].[Object Group]","[Object].[Object Group].&amp;[47]","[Object].[Obj Group Nm]","[Object].[Obj Group Nm].&amp;[REPAIRS]"),0)</f>
        <v>0</v>
      </c>
      <c r="AD50" s="20">
        <f>IFERROR(GETPIVOTDATA("[Measures].[Jrnl Posting Am]",'[1]Historical Summary Cube'!$AA$5,"[Accounting Period].[Fisc Yr]","[Accounting Period].[Fisc Yr].&amp;[2020]","[Object].[Object Group]","[Object].[Object Group].&amp;[47]","[Object].[Obj Group Nm]","[Object].[Obj Group Nm].&amp;[REPAIRS]"),0)</f>
        <v>0</v>
      </c>
      <c r="AE50" s="20">
        <f>IFERROR(GETPIVOTDATA("[Measures].[Jrnl Posting Am]",'[1]Historical Summary Cube'!$AA$5,"[Accounting Period].[Fisc Yr]","[Accounting Period].[Fisc Yr].&amp;[2021]","[Object].[Object Group]","[Object].[Object Group].&amp;[47]","[Object].[Obj Group Nm]","[Object].[Obj Group Nm].&amp;[REPAIRS]"),0)</f>
        <v>0</v>
      </c>
      <c r="AF50" s="20">
        <f>IFERROR(GETPIVOTDATA("[Measures].[Jrnl Posting Am]",'[1]Historical Summary Cube'!$AA$5,"[Accounting Period].[Fisc Yr]","[Accounting Period].[Fisc Yr].&amp;[2022]","[Object].[Object Group]","[Object].[Object Group].&amp;[47]","[Object].[Obj Group Nm]","[Object].[Obj Group Nm].&amp;[REPAIRS]"),0)</f>
        <v>0</v>
      </c>
      <c r="AG50" s="20">
        <f>IFERROR(GETPIVOTDATA("[Measures].[Jrnl Posting Am]",'[1]Historical Summary Cube'!$AA$5,"[Accounting Period].[Fisc Yr]","[Accounting Period].[Fisc Yr].&amp;[2023]","[Object].[Object Group]","[Object].[Object Group].&amp;[47]","[Object].[Obj Group Nm]","[Object].[Obj Group Nm].&amp;[REPAIRS]"),0)</f>
        <v>0</v>
      </c>
      <c r="AH50" s="20">
        <f>IFERROR(GETPIVOTDATA("[Measures].[Jrnl Posting Am]",'[1]Historical Summary Cube'!$AA$5,"[Accounting Period].[Fisc Yr]","[Accounting Period].[Fisc Yr].&amp;[2024]","[Object].[Object Group]","[Object].[Object Group].&amp;[47]","[Object].[Obj Group Nm]","[Object].[Obj Group Nm].&amp;[REPAIRS]"),0)</f>
        <v>0</v>
      </c>
      <c r="AI50" s="11"/>
      <c r="AJ50" s="11"/>
    </row>
    <row r="51" spans="1:36" s="10" customFormat="1" ht="15.5" x14ac:dyDescent="0.35">
      <c r="A51" s="25" t="s">
        <v>68</v>
      </c>
      <c r="B51" s="30" t="s">
        <v>69</v>
      </c>
      <c r="C51" s="20">
        <v>0</v>
      </c>
      <c r="D51" s="20">
        <v>0</v>
      </c>
      <c r="E51" s="20">
        <v>4907.5</v>
      </c>
      <c r="F51" s="20">
        <v>0</v>
      </c>
      <c r="G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Period].&amp;[5]"),0)</f>
        <v>0</v>
      </c>
      <c r="H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Period].&amp;[6]"),0)</f>
        <v>0</v>
      </c>
      <c r="I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Period].&amp;[7]"),0)</f>
        <v>0</v>
      </c>
      <c r="J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Period].&amp;[8]"),0)</f>
        <v>0</v>
      </c>
      <c r="K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Period].&amp;[9]"),0)</f>
        <v>0</v>
      </c>
      <c r="L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Period].&amp;[10]"),0)</f>
        <v>0</v>
      </c>
      <c r="M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Period].&amp;[11]"),0)</f>
        <v>0</v>
      </c>
      <c r="N51" s="20">
        <f>IFERROR(GETPIVOTDATA("[Measures].[Jrnl Posting Am]",'[1]Historical Summary Cube'!$AA$73,"[Object].[Object Group]","[Object].[Object Group].&amp;[48]","[Object].[Obj Group Nm]","[Object].[Obj Group Nm].&amp;[INSURANCE]","[Accounting Period].[Fisc Period]","[Accounting Period].[Fisc Period].&amp;[12]"),0)</f>
        <v>0</v>
      </c>
      <c r="O51" s="11">
        <f t="shared" si="5"/>
        <v>4907.5</v>
      </c>
      <c r="P51" s="12"/>
      <c r="Q51" s="12"/>
      <c r="R51" s="20">
        <f>IFERROR(GETPIVOTDATA("[Measures].[Jrnl Posting Am]",'[1]Historical Summary Cube'!$AA$5,"[Accounting Period].[Fisc Yr]","[Accounting Period].[Fisc Yr].&amp;[2008]","[Object].[Object Group]","[Object].[Object Group].&amp;[48]","[Object].[Obj Group Nm]","[Object].[Obj Group Nm].&amp;[INSURANCE]"),0)</f>
        <v>978.47</v>
      </c>
      <c r="S51" s="20">
        <f>IFERROR(GETPIVOTDATA("[Measures].[Jrnl Posting Am]",'[1]Historical Summary Cube'!$AA$5,"[Accounting Period].[Fisc Yr]","[Accounting Period].[Fisc Yr].&amp;[2009]","[Object].[Object Group]","[Object].[Object Group].&amp;[48]","[Object].[Obj Group Nm]","[Object].[Obj Group Nm].&amp;[INSURANCE]"),0)</f>
        <v>965.15000000000009</v>
      </c>
      <c r="T51" s="20">
        <f>IFERROR(GETPIVOTDATA("[Measures].[Jrnl Posting Am]",'[1]Historical Summary Cube'!$AA$5,"[Accounting Period].[Fisc Yr]","[Accounting Period].[Fisc Yr].&amp;[2010]","[Object].[Object Group]","[Object].[Object Group].&amp;[48]","[Object].[Obj Group Nm]","[Object].[Obj Group Nm].&amp;[INSURANCE]"),0)</f>
        <v>934.53</v>
      </c>
      <c r="U51" s="20">
        <f>IFERROR(GETPIVOTDATA("[Measures].[Jrnl Posting Am]",'[1]Historical Summary Cube'!$AA$5,"[Accounting Period].[Fisc Yr]","[Accounting Period].[Fisc Yr].&amp;[2011]","[Object].[Object Group]","[Object].[Object Group].&amp;[48]","[Object].[Obj Group Nm]","[Object].[Obj Group Nm].&amp;[INSURANCE]"),0)</f>
        <v>15</v>
      </c>
      <c r="V51" s="20">
        <f>IFERROR(GETPIVOTDATA("[Measures].[Jrnl Posting Am]",'[1]Historical Summary Cube'!$AA$5,"[Accounting Period].[Fisc Yr]","[Accounting Period].[Fisc Yr].&amp;[2012]","[Object].[Object Group]","[Object].[Object Group].&amp;[48]","[Object].[Obj Group Nm]","[Object].[Obj Group Nm].&amp;[INSURANCE]"),0)</f>
        <v>1382.5600000000002</v>
      </c>
      <c r="W51" s="20">
        <f>IFERROR(GETPIVOTDATA("[Measures].[Jrnl Posting Am]",'[1]Historical Summary Cube'!$AA$5,"[Accounting Period].[Fisc Yr]","[Accounting Period].[Fisc Yr].&amp;[2013]","[Object].[Object Group]","[Object].[Object Group].&amp;[48]","[Object].[Obj Group Nm]","[Object].[Obj Group Nm].&amp;[INSURANCE]"),0)</f>
        <v>276.61</v>
      </c>
      <c r="X51" s="20">
        <f>IFERROR(GETPIVOTDATA("[Measures].[Jrnl Posting Am]",'[1]Historical Summary Cube'!$AA$5,"[Accounting Period].[Fisc Yr]","[Accounting Period].[Fisc Yr].&amp;[2014]","[Object].[Object Group]","[Object].[Object Group].&amp;[48]","[Object].[Obj Group Nm]","[Object].[Obj Group Nm].&amp;[INSURANCE]"),0)</f>
        <v>1147.3999999999999</v>
      </c>
      <c r="Y51" s="20">
        <f>IFERROR(GETPIVOTDATA("[Measures].[Jrnl Posting Am]",'[1]Historical Summary Cube'!$AA$5,"[Accounting Period].[Fisc Yr]","[Accounting Period].[Fisc Yr].&amp;[2015]","[Object].[Object Group]","[Object].[Object Group].&amp;[48]","[Object].[Obj Group Nm]","[Object].[Obj Group Nm].&amp;[INSURANCE]"),0)</f>
        <v>1325.83</v>
      </c>
      <c r="Z51" s="20">
        <f>IFERROR(GETPIVOTDATA("[Measures].[Jrnl Posting Am]",'[1]Historical Summary Cube'!$AA$5,"[Accounting Period].[Fisc Yr]","[Accounting Period].[Fisc Yr].&amp;[2016]","[Object].[Object Group]","[Object].[Object Group].&amp;[48]","[Object].[Obj Group Nm]","[Object].[Obj Group Nm].&amp;[INSURANCE]"),0)</f>
        <v>1583.7099999999998</v>
      </c>
      <c r="AA51" s="20">
        <f>IFERROR(GETPIVOTDATA("[Measures].[Jrnl Posting Am]",'[1]Historical Summary Cube'!$AA$5,"[Accounting Period].[Fisc Yr]","[Accounting Period].[Fisc Yr].&amp;[2017]","[Object].[Object Group]","[Object].[Object Group].&amp;[48]","[Object].[Obj Group Nm]","[Object].[Obj Group Nm].&amp;[INSURANCE]"),0)</f>
        <v>1891.88</v>
      </c>
      <c r="AB51" s="20">
        <f>IFERROR(GETPIVOTDATA("[Measures].[Jrnl Posting Am]",'[1]Historical Summary Cube'!$AA$5,"[Accounting Period].[Fisc Yr]","[Accounting Period].[Fisc Yr].&amp;[2018]","[Object].[Object Group]","[Object].[Object Group].&amp;[48]","[Object].[Obj Group Nm]","[Object].[Obj Group Nm].&amp;[INSURANCE]"),0)</f>
        <v>3116.24</v>
      </c>
      <c r="AC51" s="20">
        <f>IFERROR(GETPIVOTDATA("[Measures].[Jrnl Posting Am]",'[1]Historical Summary Cube'!$AA$5,"[Accounting Period].[Fisc Yr]","[Accounting Period].[Fisc Yr].&amp;[2019]","[Object].[Object Group]","[Object].[Object Group].&amp;[48]","[Object].[Obj Group Nm]","[Object].[Obj Group Nm].&amp;[INSURANCE]"),0)</f>
        <v>2629.72</v>
      </c>
      <c r="AD51" s="20">
        <f>IFERROR(GETPIVOTDATA("[Measures].[Jrnl Posting Am]",'[1]Historical Summary Cube'!$AA$5,"[Accounting Period].[Fisc Yr]","[Accounting Period].[Fisc Yr].&amp;[2020]","[Object].[Object Group]","[Object].[Object Group].&amp;[48]","[Object].[Obj Group Nm]","[Object].[Obj Group Nm].&amp;[INSURANCE]"),0)</f>
        <v>2629.7999999999997</v>
      </c>
      <c r="AE51" s="20">
        <f>IFERROR(GETPIVOTDATA("[Measures].[Jrnl Posting Am]",'[1]Historical Summary Cube'!$AA$5,"[Accounting Period].[Fisc Yr]","[Accounting Period].[Fisc Yr].&amp;[2021]","[Object].[Object Group]","[Object].[Object Group].&amp;[48]","[Object].[Obj Group Nm]","[Object].[Obj Group Nm].&amp;[INSURANCE]"),0)</f>
        <v>2867</v>
      </c>
      <c r="AF51" s="20">
        <f>IFERROR(GETPIVOTDATA("[Measures].[Jrnl Posting Am]",'[1]Historical Summary Cube'!$AA$5,"[Accounting Period].[Fisc Yr]","[Accounting Period].[Fisc Yr].&amp;[2022]","[Object].[Object Group]","[Object].[Object Group].&amp;[48]","[Object].[Obj Group Nm]","[Object].[Obj Group Nm].&amp;[INSURANCE]"),0)</f>
        <v>3514.78</v>
      </c>
      <c r="AG51" s="20">
        <f>IFERROR(GETPIVOTDATA("[Measures].[Jrnl Posting Am]",'[1]Historical Summary Cube'!$AA$5,"[Accounting Period].[Fisc Yr]","[Accounting Period].[Fisc Yr].&amp;[2023]","[Object].[Object Group]","[Object].[Object Group].&amp;[48]","[Object].[Obj Group Nm]","[Object].[Obj Group Nm].&amp;[INSURANCE]"),0)</f>
        <v>3811.61</v>
      </c>
      <c r="AH51" s="20">
        <f>IFERROR(GETPIVOTDATA("[Measures].[Jrnl Posting Am]",'[1]Historical Summary Cube'!$AA$5,"[Accounting Period].[Fisc Yr]","[Accounting Period].[Fisc Yr].&amp;[2024]","[Object].[Object Group]","[Object].[Object Group].&amp;[48]","[Object].[Obj Group Nm]","[Object].[Obj Group Nm].&amp;[INSURANCE]"),0)</f>
        <v>4907.5</v>
      </c>
      <c r="AI51" s="11"/>
      <c r="AJ51" s="11"/>
    </row>
    <row r="52" spans="1:36" s="10" customFormat="1" ht="15.5" x14ac:dyDescent="0.35">
      <c r="A52" s="25" t="s">
        <v>70</v>
      </c>
      <c r="B52" s="30" t="s">
        <v>71</v>
      </c>
      <c r="C52" s="20">
        <v>470.59</v>
      </c>
      <c r="D52" s="20">
        <v>1952.5100000000002</v>
      </c>
      <c r="E52" s="20">
        <v>2221.23</v>
      </c>
      <c r="F52" s="20">
        <v>1662</v>
      </c>
      <c r="G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Period].&amp;[5]"),0)</f>
        <v>0</v>
      </c>
      <c r="H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Period].&amp;[6]"),0)</f>
        <v>0</v>
      </c>
      <c r="I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Period].&amp;[7]"),0)</f>
        <v>0</v>
      </c>
      <c r="J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Period].&amp;[8]"),0)</f>
        <v>0</v>
      </c>
      <c r="K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Period].&amp;[9]"),0)</f>
        <v>0</v>
      </c>
      <c r="L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Period].&amp;[10]"),0)</f>
        <v>0</v>
      </c>
      <c r="M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Period].&amp;[11]"),0)</f>
        <v>0</v>
      </c>
      <c r="N52" s="20">
        <f>IFERROR(GETPIVOTDATA("[Measures].[Jrnl Posting Am]",'[1]Historical Summary Cube'!$AA$73,"[Object].[Object Group]","[Object].[Object Group].&amp;[49]","[Object].[Obj Group Nm]","[Object].[Obj Group Nm].&amp;[GENERAL OPERATIONS]","[Accounting Period].[Fisc Period]","[Accounting Period].[Fisc Period].&amp;[12]"),0)</f>
        <v>0</v>
      </c>
      <c r="O52" s="11">
        <f t="shared" si="5"/>
        <v>6306.33</v>
      </c>
      <c r="P52" s="12"/>
      <c r="Q52" s="12"/>
      <c r="R52" s="20">
        <f>IFERROR(GETPIVOTDATA("[Measures].[Jrnl Posting Am]",'[1]Historical Summary Cube'!$AA$5,"[Accounting Period].[Fisc Yr]","[Accounting Period].[Fisc Yr].&amp;[2008]","[Object].[Object Group]","[Object].[Object Group].&amp;[49]","[Object].[Obj Group Nm]","[Object].[Obj Group Nm].&amp;[GENERAL OPERATIONS]"),0)</f>
        <v>34840.490000000005</v>
      </c>
      <c r="S52" s="20">
        <f>IFERROR(GETPIVOTDATA("[Measures].[Jrnl Posting Am]",'[1]Historical Summary Cube'!$AA$5,"[Accounting Period].[Fisc Yr]","[Accounting Period].[Fisc Yr].&amp;[2009]","[Object].[Object Group]","[Object].[Object Group].&amp;[49]","[Object].[Obj Group Nm]","[Object].[Obj Group Nm].&amp;[GENERAL OPERATIONS]"),0)</f>
        <v>17798.289999999994</v>
      </c>
      <c r="T52" s="20">
        <f>IFERROR(GETPIVOTDATA("[Measures].[Jrnl Posting Am]",'[1]Historical Summary Cube'!$AA$5,"[Accounting Period].[Fisc Yr]","[Accounting Period].[Fisc Yr].&amp;[2010]","[Object].[Object Group]","[Object].[Object Group].&amp;[49]","[Object].[Obj Group Nm]","[Object].[Obj Group Nm].&amp;[GENERAL OPERATIONS]"),0)</f>
        <v>29393.52</v>
      </c>
      <c r="U52" s="20">
        <f>IFERROR(GETPIVOTDATA("[Measures].[Jrnl Posting Am]",'[1]Historical Summary Cube'!$AA$5,"[Accounting Period].[Fisc Yr]","[Accounting Period].[Fisc Yr].&amp;[2011]","[Object].[Object Group]","[Object].[Object Group].&amp;[49]","[Object].[Obj Group Nm]","[Object].[Obj Group Nm].&amp;[GENERAL OPERATIONS]"),0)</f>
        <v>35092.810000000005</v>
      </c>
      <c r="V52" s="20">
        <f>IFERROR(GETPIVOTDATA("[Measures].[Jrnl Posting Am]",'[1]Historical Summary Cube'!$AA$5,"[Accounting Period].[Fisc Yr]","[Accounting Period].[Fisc Yr].&amp;[2012]","[Object].[Object Group]","[Object].[Object Group].&amp;[49]","[Object].[Obj Group Nm]","[Object].[Obj Group Nm].&amp;[GENERAL OPERATIONS]"),0)</f>
        <v>17566.359999999997</v>
      </c>
      <c r="W52" s="20">
        <f>IFERROR(GETPIVOTDATA("[Measures].[Jrnl Posting Am]",'[1]Historical Summary Cube'!$AA$5,"[Accounting Period].[Fisc Yr]","[Accounting Period].[Fisc Yr].&amp;[2013]","[Object].[Object Group]","[Object].[Object Group].&amp;[49]","[Object].[Obj Group Nm]","[Object].[Obj Group Nm].&amp;[GENERAL OPERATIONS]"),0)</f>
        <v>35736.100000000006</v>
      </c>
      <c r="X52" s="20">
        <f>IFERROR(GETPIVOTDATA("[Measures].[Jrnl Posting Am]",'[1]Historical Summary Cube'!$AA$5,"[Accounting Period].[Fisc Yr]","[Accounting Period].[Fisc Yr].&amp;[2014]","[Object].[Object Group]","[Object].[Object Group].&amp;[49]","[Object].[Obj Group Nm]","[Object].[Obj Group Nm].&amp;[GENERAL OPERATIONS]"),0)</f>
        <v>24985.27</v>
      </c>
      <c r="Y52" s="20">
        <f>IFERROR(GETPIVOTDATA("[Measures].[Jrnl Posting Am]",'[1]Historical Summary Cube'!$AA$5,"[Accounting Period].[Fisc Yr]","[Accounting Period].[Fisc Yr].&amp;[2015]","[Object].[Object Group]","[Object].[Object Group].&amp;[49]","[Object].[Obj Group Nm]","[Object].[Obj Group Nm].&amp;[GENERAL OPERATIONS]"),0)</f>
        <v>28662.380000000005</v>
      </c>
      <c r="Z52" s="20">
        <f>IFERROR(GETPIVOTDATA("[Measures].[Jrnl Posting Am]",'[1]Historical Summary Cube'!$AA$5,"[Accounting Period].[Fisc Yr]","[Accounting Period].[Fisc Yr].&amp;[2016]","[Object].[Object Group]","[Object].[Object Group].&amp;[49]","[Object].[Obj Group Nm]","[Object].[Obj Group Nm].&amp;[GENERAL OPERATIONS]"),0)</f>
        <v>30661.830000000005</v>
      </c>
      <c r="AA52" s="20">
        <f>IFERROR(GETPIVOTDATA("[Measures].[Jrnl Posting Am]",'[1]Historical Summary Cube'!$AA$5,"[Accounting Period].[Fisc Yr]","[Accounting Period].[Fisc Yr].&amp;[2017]","[Object].[Object Group]","[Object].[Object Group].&amp;[49]","[Object].[Obj Group Nm]","[Object].[Obj Group Nm].&amp;[GENERAL OPERATIONS]"),0)</f>
        <v>19558.16</v>
      </c>
      <c r="AB52" s="20">
        <f>IFERROR(GETPIVOTDATA("[Measures].[Jrnl Posting Am]",'[1]Historical Summary Cube'!$AA$5,"[Accounting Period].[Fisc Yr]","[Accounting Period].[Fisc Yr].&amp;[2018]","[Object].[Object Group]","[Object].[Object Group].&amp;[49]","[Object].[Obj Group Nm]","[Object].[Obj Group Nm].&amp;[GENERAL OPERATIONS]"),0)</f>
        <v>34919.629999999997</v>
      </c>
      <c r="AC52" s="20">
        <f>IFERROR(GETPIVOTDATA("[Measures].[Jrnl Posting Am]",'[1]Historical Summary Cube'!$AA$5,"[Accounting Period].[Fisc Yr]","[Accounting Period].[Fisc Yr].&amp;[2019]","[Object].[Object Group]","[Object].[Object Group].&amp;[49]","[Object].[Obj Group Nm]","[Object].[Obj Group Nm].&amp;[GENERAL OPERATIONS]"),0)</f>
        <v>61036.729999999996</v>
      </c>
      <c r="AD52" s="20">
        <f>IFERROR(GETPIVOTDATA("[Measures].[Jrnl Posting Am]",'[1]Historical Summary Cube'!$AA$5,"[Accounting Period].[Fisc Yr]","[Accounting Period].[Fisc Yr].&amp;[2020]","[Object].[Object Group]","[Object].[Object Group].&amp;[49]","[Object].[Obj Group Nm]","[Object].[Obj Group Nm].&amp;[GENERAL OPERATIONS]"),0)</f>
        <v>50322.66</v>
      </c>
      <c r="AE52" s="20">
        <f>IFERROR(GETPIVOTDATA("[Measures].[Jrnl Posting Am]",'[1]Historical Summary Cube'!$AA$5,"[Accounting Period].[Fisc Yr]","[Accounting Period].[Fisc Yr].&amp;[2021]","[Object].[Object Group]","[Object].[Object Group].&amp;[49]","[Object].[Obj Group Nm]","[Object].[Obj Group Nm].&amp;[GENERAL OPERATIONS]"),0)</f>
        <v>41686.35</v>
      </c>
      <c r="AF52" s="20">
        <f>IFERROR(GETPIVOTDATA("[Measures].[Jrnl Posting Am]",'[1]Historical Summary Cube'!$AA$5,"[Accounting Period].[Fisc Yr]","[Accounting Period].[Fisc Yr].&amp;[2022]","[Object].[Object Group]","[Object].[Object Group].&amp;[49]","[Object].[Obj Group Nm]","[Object].[Obj Group Nm].&amp;[GENERAL OPERATIONS]"),0)</f>
        <v>62289.099999999991</v>
      </c>
      <c r="AG52" s="20">
        <f>IFERROR(GETPIVOTDATA("[Measures].[Jrnl Posting Am]",'[1]Historical Summary Cube'!$AA$5,"[Accounting Period].[Fisc Yr]","[Accounting Period].[Fisc Yr].&amp;[2023]","[Object].[Object Group]","[Object].[Object Group].&amp;[49]","[Object].[Obj Group Nm]","[Object].[Obj Group Nm].&amp;[GENERAL OPERATIONS]"),0)</f>
        <v>48069.390000000007</v>
      </c>
      <c r="AH52" s="20">
        <f>IFERROR(GETPIVOTDATA("[Measures].[Jrnl Posting Am]",'[1]Historical Summary Cube'!$AA$5,"[Accounting Period].[Fisc Yr]","[Accounting Period].[Fisc Yr].&amp;[2024]","[Object].[Object Group]","[Object].[Object Group].&amp;[49]","[Object].[Obj Group Nm]","[Object].[Obj Group Nm].&amp;[GENERAL OPERATIONS]"),0)</f>
        <v>6306.329999999999</v>
      </c>
      <c r="AI52" s="11"/>
      <c r="AJ52" s="11"/>
    </row>
    <row r="53" spans="1:36" s="10" customFormat="1" ht="15.5" x14ac:dyDescent="0.35">
      <c r="A53" s="25" t="s">
        <v>72</v>
      </c>
      <c r="B53" s="30" t="s">
        <v>73</v>
      </c>
      <c r="C53" s="20">
        <v>0</v>
      </c>
      <c r="D53" s="20">
        <v>0</v>
      </c>
      <c r="E53" s="20">
        <v>0</v>
      </c>
      <c r="F53" s="20">
        <v>0</v>
      </c>
      <c r="G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Period].&amp;[5]"),0)</f>
        <v>0</v>
      </c>
      <c r="H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Period].&amp;[6]"),0)</f>
        <v>0</v>
      </c>
      <c r="I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Period].&amp;[7]"),0)</f>
        <v>0</v>
      </c>
      <c r="J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Period].&amp;[8]"),0)</f>
        <v>0</v>
      </c>
      <c r="K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Period].&amp;[9]"),0)</f>
        <v>0</v>
      </c>
      <c r="L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Period].&amp;[10]"),0)</f>
        <v>0</v>
      </c>
      <c r="M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Period].&amp;[11]"),0)</f>
        <v>0</v>
      </c>
      <c r="N53" s="20">
        <f>IFERROR(GETPIVOTDATA("[Measures].[Jrnl Posting Am]",'[1]Historical Summary Cube'!$AA$73,"[Object].[Object Group]","[Object].[Object Group].&amp;[50]","[Object].[Obj Group Nm]","[Object].[Obj Group Nm].&amp;[EMPLOYEE TRAINING]","[Accounting Period].[Fisc Period]","[Accounting Period].[Fisc Period].&amp;[12]"),0)</f>
        <v>0</v>
      </c>
      <c r="O53" s="11">
        <f t="shared" si="5"/>
        <v>0</v>
      </c>
      <c r="P53" s="12"/>
      <c r="Q53" s="12"/>
      <c r="R53" s="20">
        <f>IFERROR(GETPIVOTDATA("[Measures].[Jrnl Posting Am]",'[1]Historical Summary Cube'!$AA$5,"[Accounting Period].[Fisc Yr]","[Accounting Period].[Fisc Yr].&amp;[2008]","[Object].[Object Group]","[Object].[Object Group].&amp;[50]","[Object].[Obj Group Nm]","[Object].[Obj Group Nm].&amp;[EMPLOYEE TRAINING]"),0)</f>
        <v>60</v>
      </c>
      <c r="S53" s="20">
        <f>IFERROR(GETPIVOTDATA("[Measures].[Jrnl Posting Am]",'[1]Historical Summary Cube'!$AA$5,"[Accounting Period].[Fisc Yr]","[Accounting Period].[Fisc Yr].&amp;[2009]","[Object].[Object Group]","[Object].[Object Group].&amp;[50]","[Object].[Obj Group Nm]","[Object].[Obj Group Nm].&amp;[EMPLOYEE TRAINING]"),0)</f>
        <v>1521.99</v>
      </c>
      <c r="T53" s="20">
        <f>IFERROR(GETPIVOTDATA("[Measures].[Jrnl Posting Am]",'[1]Historical Summary Cube'!$AA$5,"[Accounting Period].[Fisc Yr]","[Accounting Period].[Fisc Yr].&amp;[2010]","[Object].[Object Group]","[Object].[Object Group].&amp;[50]","[Object].[Obj Group Nm]","[Object].[Obj Group Nm].&amp;[EMPLOYEE TRAINING]"),0)</f>
        <v>758.52</v>
      </c>
      <c r="U53" s="20">
        <f>IFERROR(GETPIVOTDATA("[Measures].[Jrnl Posting Am]",'[1]Historical Summary Cube'!$AA$5,"[Accounting Period].[Fisc Yr]","[Accounting Period].[Fisc Yr].&amp;[2011]","[Object].[Object Group]","[Object].[Object Group].&amp;[50]","[Object].[Obj Group Nm]","[Object].[Obj Group Nm].&amp;[EMPLOYEE TRAINING]"),0)</f>
        <v>860</v>
      </c>
      <c r="V53" s="20">
        <f>IFERROR(GETPIVOTDATA("[Measures].[Jrnl Posting Am]",'[1]Historical Summary Cube'!$AA$5,"[Accounting Period].[Fisc Yr]","[Accounting Period].[Fisc Yr].&amp;[2012]","[Object].[Object Group]","[Object].[Object Group].&amp;[50]","[Object].[Obj Group Nm]","[Object].[Obj Group Nm].&amp;[EMPLOYEE TRAINING]"),0)</f>
        <v>176</v>
      </c>
      <c r="W53" s="20">
        <f>IFERROR(GETPIVOTDATA("[Measures].[Jrnl Posting Am]",'[1]Historical Summary Cube'!$AA$5,"[Accounting Period].[Fisc Yr]","[Accounting Period].[Fisc Yr].&amp;[2013]","[Object].[Object Group]","[Object].[Object Group].&amp;[50]","[Object].[Obj Group Nm]","[Object].[Obj Group Nm].&amp;[EMPLOYEE TRAINING]"),0)</f>
        <v>175</v>
      </c>
      <c r="X53" s="20">
        <f>IFERROR(GETPIVOTDATA("[Measures].[Jrnl Posting Am]",'[1]Historical Summary Cube'!$AA$5,"[Accounting Period].[Fisc Yr]","[Accounting Period].[Fisc Yr].&amp;[2014]","[Object].[Object Group]","[Object].[Object Group].&amp;[50]","[Object].[Obj Group Nm]","[Object].[Obj Group Nm].&amp;[EMPLOYEE TRAINING]"),0)</f>
        <v>979</v>
      </c>
      <c r="Y53" s="20">
        <f>IFERROR(GETPIVOTDATA("[Measures].[Jrnl Posting Am]",'[1]Historical Summary Cube'!$AA$5,"[Accounting Period].[Fisc Yr]","[Accounting Period].[Fisc Yr].&amp;[2015]","[Object].[Object Group]","[Object].[Object Group].&amp;[50]","[Object].[Obj Group Nm]","[Object].[Obj Group Nm].&amp;[EMPLOYEE TRAINING]"),0)</f>
        <v>745</v>
      </c>
      <c r="Z53" s="20">
        <f>IFERROR(GETPIVOTDATA("[Measures].[Jrnl Posting Am]",'[1]Historical Summary Cube'!$AA$5,"[Accounting Period].[Fisc Yr]","[Accounting Period].[Fisc Yr].&amp;[2016]","[Object].[Object Group]","[Object].[Object Group].&amp;[50]","[Object].[Obj Group Nm]","[Object].[Obj Group Nm].&amp;[EMPLOYEE TRAINING]"),0)</f>
        <v>0</v>
      </c>
      <c r="AA53" s="20">
        <f>IFERROR(GETPIVOTDATA("[Measures].[Jrnl Posting Am]",'[1]Historical Summary Cube'!$AA$5,"[Accounting Period].[Fisc Yr]","[Accounting Period].[Fisc Yr].&amp;[2017]","[Object].[Object Group]","[Object].[Object Group].&amp;[50]","[Object].[Obj Group Nm]","[Object].[Obj Group Nm].&amp;[EMPLOYEE TRAINING]"),0)</f>
        <v>134.24</v>
      </c>
      <c r="AB53" s="20">
        <f>IFERROR(GETPIVOTDATA("[Measures].[Jrnl Posting Am]",'[1]Historical Summary Cube'!$AA$5,"[Accounting Period].[Fisc Yr]","[Accounting Period].[Fisc Yr].&amp;[2018]","[Object].[Object Group]","[Object].[Object Group].&amp;[50]","[Object].[Obj Group Nm]","[Object].[Obj Group Nm].&amp;[EMPLOYEE TRAINING]"),0)</f>
        <v>910</v>
      </c>
      <c r="AC53" s="20">
        <f>IFERROR(GETPIVOTDATA("[Measures].[Jrnl Posting Am]",'[1]Historical Summary Cube'!$AA$5,"[Accounting Period].[Fisc Yr]","[Accounting Period].[Fisc Yr].&amp;[2019]","[Object].[Object Group]","[Object].[Object Group].&amp;[50]","[Object].[Obj Group Nm]","[Object].[Obj Group Nm].&amp;[EMPLOYEE TRAINING]"),0)</f>
        <v>55</v>
      </c>
      <c r="AD53" s="20">
        <f>IFERROR(GETPIVOTDATA("[Measures].[Jrnl Posting Am]",'[1]Historical Summary Cube'!$AA$5,"[Accounting Period].[Fisc Yr]","[Accounting Period].[Fisc Yr].&amp;[2020]","[Object].[Object Group]","[Object].[Object Group].&amp;[50]","[Object].[Obj Group Nm]","[Object].[Obj Group Nm].&amp;[EMPLOYEE TRAINING]"),0)</f>
        <v>1262.75</v>
      </c>
      <c r="AE53" s="20">
        <f>IFERROR(GETPIVOTDATA("[Measures].[Jrnl Posting Am]",'[1]Historical Summary Cube'!$AA$5,"[Accounting Period].[Fisc Yr]","[Accounting Period].[Fisc Yr].&amp;[2021]","[Object].[Object Group]","[Object].[Object Group].&amp;[50]","[Object].[Obj Group Nm]","[Object].[Obj Group Nm].&amp;[EMPLOYEE TRAINING]"),0)</f>
        <v>1117</v>
      </c>
      <c r="AF53" s="20">
        <f>IFERROR(GETPIVOTDATA("[Measures].[Jrnl Posting Am]",'[1]Historical Summary Cube'!$AA$5,"[Accounting Period].[Fisc Yr]","[Accounting Period].[Fisc Yr].&amp;[2022]","[Object].[Object Group]","[Object].[Object Group].&amp;[50]","[Object].[Obj Group Nm]","[Object].[Obj Group Nm].&amp;[EMPLOYEE TRAINING]"),0)</f>
        <v>369</v>
      </c>
      <c r="AG53" s="20">
        <f>IFERROR(GETPIVOTDATA("[Measures].[Jrnl Posting Am]",'[1]Historical Summary Cube'!$AA$5,"[Accounting Period].[Fisc Yr]","[Accounting Period].[Fisc Yr].&amp;[2023]","[Object].[Object Group]","[Object].[Object Group].&amp;[50]","[Object].[Obj Group Nm]","[Object].[Obj Group Nm].&amp;[EMPLOYEE TRAINING]"),0)</f>
        <v>131.34</v>
      </c>
      <c r="AH53" s="20">
        <f>IFERROR(GETPIVOTDATA("[Measures].[Jrnl Posting Am]",'[1]Historical Summary Cube'!$AA$5,"[Accounting Period].[Fisc Yr]","[Accounting Period].[Fisc Yr].&amp;[2024]","[Object].[Object Group]","[Object].[Object Group].&amp;[50]","[Object].[Obj Group Nm]","[Object].[Obj Group Nm].&amp;[EMPLOYEE TRAINING]"),0)</f>
        <v>0</v>
      </c>
      <c r="AI53" s="11"/>
      <c r="AJ53" s="11"/>
    </row>
    <row r="54" spans="1:36" s="10" customFormat="1" ht="15.5" x14ac:dyDescent="0.35">
      <c r="A54" s="25" t="s">
        <v>74</v>
      </c>
      <c r="B54" s="30" t="s">
        <v>75</v>
      </c>
      <c r="C54" s="20">
        <v>48.55</v>
      </c>
      <c r="D54" s="20">
        <v>0</v>
      </c>
      <c r="E54" s="20">
        <v>82.47999999999999</v>
      </c>
      <c r="F54" s="20">
        <v>0</v>
      </c>
      <c r="G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Period].&amp;[5]"),0)</f>
        <v>0</v>
      </c>
      <c r="H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Period].&amp;[6]"),0)</f>
        <v>0</v>
      </c>
      <c r="I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Period].&amp;[7]"),0)</f>
        <v>0</v>
      </c>
      <c r="J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Period].&amp;[8]"),0)</f>
        <v>0</v>
      </c>
      <c r="K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Period].&amp;[9]"),0)</f>
        <v>0</v>
      </c>
      <c r="L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Period].&amp;[10]"),0)</f>
        <v>0</v>
      </c>
      <c r="M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Period].&amp;[11]"),0)</f>
        <v>0</v>
      </c>
      <c r="N54" s="20">
        <f>IFERROR(GETPIVOTDATA("[Measures].[Jrnl Posting Am]",'[1]Historical Summary Cube'!$AA$73,"[Object].[Object Group]","[Object].[Object Group].&amp;[51]","[Object].[Obj Group Nm]","[Object].[Obj Group Nm].&amp;[COMMODITIES - FOOD]","[Accounting Period].[Fisc Period]","[Accounting Period].[Fisc Period].&amp;[12]"),0)</f>
        <v>0</v>
      </c>
      <c r="O54" s="11">
        <f t="shared" si="5"/>
        <v>131.02999999999997</v>
      </c>
      <c r="P54" s="12"/>
      <c r="Q54" s="12"/>
      <c r="R54" s="20">
        <f>IFERROR(GETPIVOTDATA("[Measures].[Jrnl Posting Am]",'[1]Historical Summary Cube'!$AA$5,"[Accounting Period].[Fisc Yr]","[Accounting Period].[Fisc Yr].&amp;[2008]","[Object].[Object Group]","[Object].[Object Group].&amp;[51]","[Object].[Obj Group Nm]","[Object].[Obj Group Nm].&amp;[COMMODITIES - FOOD]"),0)</f>
        <v>212.80999999999997</v>
      </c>
      <c r="S54" s="20">
        <f>IFERROR(GETPIVOTDATA("[Measures].[Jrnl Posting Am]",'[1]Historical Summary Cube'!$AA$5,"[Accounting Period].[Fisc Yr]","[Accounting Period].[Fisc Yr].&amp;[2009]","[Object].[Object Group]","[Object].[Object Group].&amp;[51]","[Object].[Obj Group Nm]","[Object].[Obj Group Nm].&amp;[COMMODITIES - FOOD]"),0)</f>
        <v>320.54000000000002</v>
      </c>
      <c r="T54" s="20">
        <f>IFERROR(GETPIVOTDATA("[Measures].[Jrnl Posting Am]",'[1]Historical Summary Cube'!$AA$5,"[Accounting Period].[Fisc Yr]","[Accounting Period].[Fisc Yr].&amp;[2010]","[Object].[Object Group]","[Object].[Object Group].&amp;[51]","[Object].[Obj Group Nm]","[Object].[Obj Group Nm].&amp;[COMMODITIES - FOOD]"),0)</f>
        <v>579.34</v>
      </c>
      <c r="U54" s="20">
        <f>IFERROR(GETPIVOTDATA("[Measures].[Jrnl Posting Am]",'[1]Historical Summary Cube'!$AA$5,"[Accounting Period].[Fisc Yr]","[Accounting Period].[Fisc Yr].&amp;[2011]","[Object].[Object Group]","[Object].[Object Group].&amp;[51]","[Object].[Obj Group Nm]","[Object].[Obj Group Nm].&amp;[COMMODITIES - FOOD]"),0)</f>
        <v>396.05</v>
      </c>
      <c r="V54" s="20">
        <f>IFERROR(GETPIVOTDATA("[Measures].[Jrnl Posting Am]",'[1]Historical Summary Cube'!$AA$5,"[Accounting Period].[Fisc Yr]","[Accounting Period].[Fisc Yr].&amp;[2012]","[Object].[Object Group]","[Object].[Object Group].&amp;[51]","[Object].[Obj Group Nm]","[Object].[Obj Group Nm].&amp;[COMMODITIES - FOOD]"),0)</f>
        <v>431.24</v>
      </c>
      <c r="W54" s="20">
        <f>IFERROR(GETPIVOTDATA("[Measures].[Jrnl Posting Am]",'[1]Historical Summary Cube'!$AA$5,"[Accounting Period].[Fisc Yr]","[Accounting Period].[Fisc Yr].&amp;[2013]","[Object].[Object Group]","[Object].[Object Group].&amp;[51]","[Object].[Obj Group Nm]","[Object].[Obj Group Nm].&amp;[COMMODITIES - FOOD]"),0)</f>
        <v>1664.02</v>
      </c>
      <c r="X54" s="20">
        <f>IFERROR(GETPIVOTDATA("[Measures].[Jrnl Posting Am]",'[1]Historical Summary Cube'!$AA$5,"[Accounting Period].[Fisc Yr]","[Accounting Period].[Fisc Yr].&amp;[2014]","[Object].[Object Group]","[Object].[Object Group].&amp;[51]","[Object].[Obj Group Nm]","[Object].[Obj Group Nm].&amp;[COMMODITIES - FOOD]"),0)</f>
        <v>432.53999999999996</v>
      </c>
      <c r="Y54" s="20">
        <f>IFERROR(GETPIVOTDATA("[Measures].[Jrnl Posting Am]",'[1]Historical Summary Cube'!$AA$5,"[Accounting Period].[Fisc Yr]","[Accounting Period].[Fisc Yr].&amp;[2015]","[Object].[Object Group]","[Object].[Object Group].&amp;[51]","[Object].[Obj Group Nm]","[Object].[Obj Group Nm].&amp;[COMMODITIES - FOOD]"),0)</f>
        <v>315.5</v>
      </c>
      <c r="Z54" s="20">
        <f>IFERROR(GETPIVOTDATA("[Measures].[Jrnl Posting Am]",'[1]Historical Summary Cube'!$AA$5,"[Accounting Period].[Fisc Yr]","[Accounting Period].[Fisc Yr].&amp;[2016]","[Object].[Object Group]","[Object].[Object Group].&amp;[51]","[Object].[Obj Group Nm]","[Object].[Obj Group Nm].&amp;[COMMODITIES - FOOD]"),0)</f>
        <v>342.46999999999997</v>
      </c>
      <c r="AA54" s="20">
        <f>IFERROR(GETPIVOTDATA("[Measures].[Jrnl Posting Am]",'[1]Historical Summary Cube'!$AA$5,"[Accounting Period].[Fisc Yr]","[Accounting Period].[Fisc Yr].&amp;[2017]","[Object].[Object Group]","[Object].[Object Group].&amp;[51]","[Object].[Obj Group Nm]","[Object].[Obj Group Nm].&amp;[COMMODITIES - FOOD]"),0)</f>
        <v>450.97999999999996</v>
      </c>
      <c r="AB54" s="20">
        <f>IFERROR(GETPIVOTDATA("[Measures].[Jrnl Posting Am]",'[1]Historical Summary Cube'!$AA$5,"[Accounting Period].[Fisc Yr]","[Accounting Period].[Fisc Yr].&amp;[2018]","[Object].[Object Group]","[Object].[Object Group].&amp;[51]","[Object].[Obj Group Nm]","[Object].[Obj Group Nm].&amp;[COMMODITIES - FOOD]"),0)</f>
        <v>190.06</v>
      </c>
      <c r="AC54" s="20">
        <f>IFERROR(GETPIVOTDATA("[Measures].[Jrnl Posting Am]",'[1]Historical Summary Cube'!$AA$5,"[Accounting Period].[Fisc Yr]","[Accounting Period].[Fisc Yr].&amp;[2019]","[Object].[Object Group]","[Object].[Object Group].&amp;[51]","[Object].[Obj Group Nm]","[Object].[Obj Group Nm].&amp;[COMMODITIES - FOOD]"),0)</f>
        <v>535.02</v>
      </c>
      <c r="AD54" s="20">
        <f>IFERROR(GETPIVOTDATA("[Measures].[Jrnl Posting Am]",'[1]Historical Summary Cube'!$AA$5,"[Accounting Period].[Fisc Yr]","[Accounting Period].[Fisc Yr].&amp;[2020]","[Object].[Object Group]","[Object].[Object Group].&amp;[51]","[Object].[Obj Group Nm]","[Object].[Obj Group Nm].&amp;[COMMODITIES - FOOD]"),0)</f>
        <v>526.79999999999995</v>
      </c>
      <c r="AE54" s="20">
        <f>IFERROR(GETPIVOTDATA("[Measures].[Jrnl Posting Am]",'[1]Historical Summary Cube'!$AA$5,"[Accounting Period].[Fisc Yr]","[Accounting Period].[Fisc Yr].&amp;[2021]","[Object].[Object Group]","[Object].[Object Group].&amp;[51]","[Object].[Obj Group Nm]","[Object].[Obj Group Nm].&amp;[COMMODITIES - FOOD]"),0)</f>
        <v>0</v>
      </c>
      <c r="AF54" s="20">
        <f>IFERROR(GETPIVOTDATA("[Measures].[Jrnl Posting Am]",'[1]Historical Summary Cube'!$AA$5,"[Accounting Period].[Fisc Yr]","[Accounting Period].[Fisc Yr].&amp;[2022]","[Object].[Object Group]","[Object].[Object Group].&amp;[51]","[Object].[Obj Group Nm]","[Object].[Obj Group Nm].&amp;[COMMODITIES - FOOD]"),0)</f>
        <v>0</v>
      </c>
      <c r="AG54" s="20">
        <f>IFERROR(GETPIVOTDATA("[Measures].[Jrnl Posting Am]",'[1]Historical Summary Cube'!$AA$5,"[Accounting Period].[Fisc Yr]","[Accounting Period].[Fisc Yr].&amp;[2023]","[Object].[Object Group]","[Object].[Object Group].&amp;[51]","[Object].[Obj Group Nm]","[Object].[Obj Group Nm].&amp;[COMMODITIES - FOOD]"),0)</f>
        <v>133.75</v>
      </c>
      <c r="AH54" s="20">
        <f>IFERROR(GETPIVOTDATA("[Measures].[Jrnl Posting Am]",'[1]Historical Summary Cube'!$AA$5,"[Accounting Period].[Fisc Yr]","[Accounting Period].[Fisc Yr].&amp;[2024]","[Object].[Object Group]","[Object].[Object Group].&amp;[51]","[Object].[Obj Group Nm]","[Object].[Obj Group Nm].&amp;[COMMODITIES - FOOD]"),0)</f>
        <v>131.03</v>
      </c>
      <c r="AI54" s="11"/>
      <c r="AJ54" s="11"/>
    </row>
    <row r="55" spans="1:36" s="10" customFormat="1" ht="15.5" x14ac:dyDescent="0.35">
      <c r="A55" s="25" t="s">
        <v>76</v>
      </c>
      <c r="B55" s="30" t="s">
        <v>77</v>
      </c>
      <c r="C55" s="20">
        <v>0</v>
      </c>
      <c r="D55" s="20">
        <v>10189.49</v>
      </c>
      <c r="E55" s="20">
        <v>10137</v>
      </c>
      <c r="F55" s="20">
        <v>25967</v>
      </c>
      <c r="G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Period].&amp;[5]"),0)</f>
        <v>0</v>
      </c>
      <c r="H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Period].&amp;[6]"),0)</f>
        <v>0</v>
      </c>
      <c r="I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Period].&amp;[7]"),0)</f>
        <v>0</v>
      </c>
      <c r="J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Period].&amp;[8]"),0)</f>
        <v>0</v>
      </c>
      <c r="K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Period].&amp;[9]"),0)</f>
        <v>0</v>
      </c>
      <c r="L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Period].&amp;[10]"),0)</f>
        <v>0</v>
      </c>
      <c r="M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Period].&amp;[11]"),0)</f>
        <v>0</v>
      </c>
      <c r="N55" s="20">
        <f>IFERROR(GETPIVOTDATA("[Measures].[Jrnl Posting Am]",'[1]Historical Summary Cube'!$AA$73,"[Object].[Object Group]","[Object].[Object Group].&amp;[53]","[Object].[Obj Group Nm]","[Object].[Obj Group Nm].&amp;[TECHNOLOGY]","[Accounting Period].[Fisc Period]","[Accounting Period].[Fisc Period].&amp;[12]"),0)</f>
        <v>0</v>
      </c>
      <c r="O55" s="11">
        <f t="shared" si="5"/>
        <v>46293.49</v>
      </c>
      <c r="P55" s="12"/>
      <c r="Q55" s="12"/>
      <c r="R55" s="20">
        <f>IFERROR(GETPIVOTDATA("[Measures].[Jrnl Posting Am]",'[1]Historical Summary Cube'!$AA$5,"[Accounting Period].[Fisc Yr]","[Accounting Period].[Fisc Yr].&amp;[2008]","[Object].[Object Group]","[Object].[Object Group].&amp;[53]","[Object].[Obj Group Nm]","[Object].[Obj Group Nm].&amp;[TECHNOLOGY]"),0)</f>
        <v>738.05999999999972</v>
      </c>
      <c r="S55" s="20">
        <f>IFERROR(GETPIVOTDATA("[Measures].[Jrnl Posting Am]",'[1]Historical Summary Cube'!$AA$5,"[Accounting Period].[Fisc Yr]","[Accounting Period].[Fisc Yr].&amp;[2009]","[Object].[Object Group]","[Object].[Object Group].&amp;[53]","[Object].[Obj Group Nm]","[Object].[Obj Group Nm].&amp;[TECHNOLOGY]"),0)</f>
        <v>398.26000000000005</v>
      </c>
      <c r="T55" s="20">
        <f>IFERROR(GETPIVOTDATA("[Measures].[Jrnl Posting Am]",'[1]Historical Summary Cube'!$AA$5,"[Accounting Period].[Fisc Yr]","[Accounting Period].[Fisc Yr].&amp;[2010]","[Object].[Object Group]","[Object].[Object Group].&amp;[53]","[Object].[Obj Group Nm]","[Object].[Obj Group Nm].&amp;[TECHNOLOGY]"),0)</f>
        <v>25.889999999999873</v>
      </c>
      <c r="U55" s="20">
        <f>IFERROR(GETPIVOTDATA("[Measures].[Jrnl Posting Am]",'[1]Historical Summary Cube'!$AA$5,"[Accounting Period].[Fisc Yr]","[Accounting Period].[Fisc Yr].&amp;[2011]","[Object].[Object Group]","[Object].[Object Group].&amp;[53]","[Object].[Obj Group Nm]","[Object].[Obj Group Nm].&amp;[TECHNOLOGY]"),0)</f>
        <v>-2.8421709430404007E-14</v>
      </c>
      <c r="V55" s="20">
        <f>IFERROR(GETPIVOTDATA("[Measures].[Jrnl Posting Am]",'[1]Historical Summary Cube'!$AA$5,"[Accounting Period].[Fisc Yr]","[Accounting Period].[Fisc Yr].&amp;[2012]","[Object].[Object Group]","[Object].[Object Group].&amp;[53]","[Object].[Obj Group Nm]","[Object].[Obj Group Nm].&amp;[TECHNOLOGY]"),0)</f>
        <v>1134</v>
      </c>
      <c r="W55" s="20">
        <f>IFERROR(GETPIVOTDATA("[Measures].[Jrnl Posting Am]",'[1]Historical Summary Cube'!$AA$5,"[Accounting Period].[Fisc Yr]","[Accounting Period].[Fisc Yr].&amp;[2013]","[Object].[Object Group]","[Object].[Object Group].&amp;[53]","[Object].[Obj Group Nm]","[Object].[Obj Group Nm].&amp;[TECHNOLOGY]"),0)</f>
        <v>0</v>
      </c>
      <c r="X55" s="20">
        <f>IFERROR(GETPIVOTDATA("[Measures].[Jrnl Posting Am]",'[1]Historical Summary Cube'!$AA$5,"[Accounting Period].[Fisc Yr]","[Accounting Period].[Fisc Yr].&amp;[2014]","[Object].[Object Group]","[Object].[Object Group].&amp;[53]","[Object].[Obj Group Nm]","[Object].[Obj Group Nm].&amp;[TECHNOLOGY]"),0)</f>
        <v>897.64</v>
      </c>
      <c r="Y55" s="20">
        <f>IFERROR(GETPIVOTDATA("[Measures].[Jrnl Posting Am]",'[1]Historical Summary Cube'!$AA$5,"[Accounting Period].[Fisc Yr]","[Accounting Period].[Fisc Yr].&amp;[2015]","[Object].[Object Group]","[Object].[Object Group].&amp;[53]","[Object].[Obj Group Nm]","[Object].[Obj Group Nm].&amp;[TECHNOLOGY]"),0)</f>
        <v>87868.77</v>
      </c>
      <c r="Z55" s="20">
        <f>IFERROR(GETPIVOTDATA("[Measures].[Jrnl Posting Am]",'[1]Historical Summary Cube'!$AA$5,"[Accounting Period].[Fisc Yr]","[Accounting Period].[Fisc Yr].&amp;[2016]","[Object].[Object Group]","[Object].[Object Group].&amp;[53]","[Object].[Obj Group Nm]","[Object].[Obj Group Nm].&amp;[TECHNOLOGY]"),0)</f>
        <v>576461.19999999995</v>
      </c>
      <c r="AA55" s="20">
        <f>IFERROR(GETPIVOTDATA("[Measures].[Jrnl Posting Am]",'[1]Historical Summary Cube'!$AA$5,"[Accounting Period].[Fisc Yr]","[Accounting Period].[Fisc Yr].&amp;[2017]","[Object].[Object Group]","[Object].[Object Group].&amp;[53]","[Object].[Obj Group Nm]","[Object].[Obj Group Nm].&amp;[TECHNOLOGY]"),0)</f>
        <v>670046.71</v>
      </c>
      <c r="AB55" s="20">
        <f>IFERROR(GETPIVOTDATA("[Measures].[Jrnl Posting Am]",'[1]Historical Summary Cube'!$AA$5,"[Accounting Period].[Fisc Yr]","[Accounting Period].[Fisc Yr].&amp;[2018]","[Object].[Object Group]","[Object].[Object Group].&amp;[53]","[Object].[Obj Group Nm]","[Object].[Obj Group Nm].&amp;[TECHNOLOGY]"),0)</f>
        <v>305223.4599999999</v>
      </c>
      <c r="AC55" s="20">
        <f>IFERROR(GETPIVOTDATA("[Measures].[Jrnl Posting Am]",'[1]Historical Summary Cube'!$AA$5,"[Accounting Period].[Fisc Yr]","[Accounting Period].[Fisc Yr].&amp;[2019]","[Object].[Object Group]","[Object].[Object Group].&amp;[53]","[Object].[Obj Group Nm]","[Object].[Obj Group Nm].&amp;[TECHNOLOGY]"),0)</f>
        <v>99717.409999999974</v>
      </c>
      <c r="AD55" s="20">
        <f>IFERROR(GETPIVOTDATA("[Measures].[Jrnl Posting Am]",'[1]Historical Summary Cube'!$AA$5,"[Accounting Period].[Fisc Yr]","[Accounting Period].[Fisc Yr].&amp;[2020]","[Object].[Object Group]","[Object].[Object Group].&amp;[53]","[Object].[Obj Group Nm]","[Object].[Obj Group Nm].&amp;[TECHNOLOGY]"),0)</f>
        <v>125546.96</v>
      </c>
      <c r="AE55" s="20">
        <f>IFERROR(GETPIVOTDATA("[Measures].[Jrnl Posting Am]",'[1]Historical Summary Cube'!$AA$5,"[Accounting Period].[Fisc Yr]","[Accounting Period].[Fisc Yr].&amp;[2021]","[Object].[Object Group]","[Object].[Object Group].&amp;[53]","[Object].[Obj Group Nm]","[Object].[Obj Group Nm].&amp;[TECHNOLOGY]"),0)</f>
        <v>157272.18</v>
      </c>
      <c r="AF55" s="20">
        <f>IFERROR(GETPIVOTDATA("[Measures].[Jrnl Posting Am]",'[1]Historical Summary Cube'!$AA$5,"[Accounting Period].[Fisc Yr]","[Accounting Period].[Fisc Yr].&amp;[2022]","[Object].[Object Group]","[Object].[Object Group].&amp;[53]","[Object].[Obj Group Nm]","[Object].[Obj Group Nm].&amp;[TECHNOLOGY]"),0)</f>
        <v>129518.88</v>
      </c>
      <c r="AG55" s="20">
        <f>IFERROR(GETPIVOTDATA("[Measures].[Jrnl Posting Am]",'[1]Historical Summary Cube'!$AA$5,"[Accounting Period].[Fisc Yr]","[Accounting Period].[Fisc Yr].&amp;[2023]","[Object].[Object Group]","[Object].[Object Group].&amp;[53]","[Object].[Obj Group Nm]","[Object].[Obj Group Nm].&amp;[TECHNOLOGY]"),0)</f>
        <v>136281.91999999998</v>
      </c>
      <c r="AH55" s="20">
        <f>IFERROR(GETPIVOTDATA("[Measures].[Jrnl Posting Am]",'[1]Historical Summary Cube'!$AA$5,"[Accounting Period].[Fisc Yr]","[Accounting Period].[Fisc Yr].&amp;[2024]","[Object].[Object Group]","[Object].[Object Group].&amp;[53]","[Object].[Obj Group Nm]","[Object].[Obj Group Nm].&amp;[TECHNOLOGY]"),0)</f>
        <v>46293.49</v>
      </c>
      <c r="AI55" s="11"/>
      <c r="AJ55" s="11"/>
    </row>
    <row r="56" spans="1:36" s="10" customFormat="1" ht="15.5" x14ac:dyDescent="0.35">
      <c r="A56" s="25" t="s">
        <v>78</v>
      </c>
      <c r="B56" s="30" t="s">
        <v>79</v>
      </c>
      <c r="C56" s="20">
        <v>0</v>
      </c>
      <c r="D56" s="20">
        <v>0</v>
      </c>
      <c r="E56" s="20">
        <v>0</v>
      </c>
      <c r="F56" s="20">
        <v>0</v>
      </c>
      <c r="G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Period].&amp;[5]"),0)</f>
        <v>0</v>
      </c>
      <c r="H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Period].&amp;[6]"),0)</f>
        <v>0</v>
      </c>
      <c r="I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Period].&amp;[7]"),0)</f>
        <v>0</v>
      </c>
      <c r="J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Period].&amp;[8]"),0)</f>
        <v>0</v>
      </c>
      <c r="K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Period].&amp;[9]"),0)</f>
        <v>0</v>
      </c>
      <c r="L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Period].&amp;[10]"),0)</f>
        <v>0</v>
      </c>
      <c r="M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Period].&amp;[11]"),0)</f>
        <v>0</v>
      </c>
      <c r="N56" s="20">
        <f>IFERROR(GETPIVOTDATA("[Measures].[Jrnl Posting Am]",'[1]Historical Summary Cube'!$AA$73,"[Object].[Object Group]","[Object].[Object Group].&amp;[54]","[Object].[Obj Group Nm]","[Object].[Obj Group Nm].&amp;[CLOTHING]","[Accounting Period].[Fisc Period]","[Accounting Period].[Fisc Period].&amp;[12]"),0)</f>
        <v>0</v>
      </c>
      <c r="O56" s="11">
        <f t="shared" si="5"/>
        <v>0</v>
      </c>
      <c r="P56" s="12"/>
      <c r="Q56" s="12"/>
      <c r="R56" s="20">
        <f>IFERROR(GETPIVOTDATA("[Measures].[Jrnl Posting Am]",'[1]Historical Summary Cube'!$AA$5,"[Accounting Period].[Fisc Yr]","[Accounting Period].[Fisc Yr].&amp;[2008]","[Object].[Object Group]","[Object].[Object Group].&amp;[54]","[Object].[Obj Group Nm]","[Object].[Obj Group Nm].&amp;[CLOTHING]"),0)</f>
        <v>0</v>
      </c>
      <c r="S56" s="20">
        <f>IFERROR(GETPIVOTDATA("[Measures].[Jrnl Posting Am]",'[1]Historical Summary Cube'!$AA$5,"[Accounting Period].[Fisc Yr]","[Accounting Period].[Fisc Yr].&amp;[2009]","[Object].[Object Group]","[Object].[Object Group].&amp;[54]","[Object].[Obj Group Nm]","[Object].[Obj Group Nm].&amp;[CLOTHING]"),0)</f>
        <v>0</v>
      </c>
      <c r="T56" s="20">
        <f>IFERROR(GETPIVOTDATA("[Measures].[Jrnl Posting Am]",'[1]Historical Summary Cube'!$AA$5,"[Accounting Period].[Fisc Yr]","[Accounting Period].[Fisc Yr].&amp;[2010]","[Object].[Object Group]","[Object].[Object Group].&amp;[54]","[Object].[Obj Group Nm]","[Object].[Obj Group Nm].&amp;[CLOTHING]"),0)</f>
        <v>0</v>
      </c>
      <c r="U56" s="20">
        <f>IFERROR(GETPIVOTDATA("[Measures].[Jrnl Posting Am]",'[1]Historical Summary Cube'!$AA$5,"[Accounting Period].[Fisc Yr]","[Accounting Period].[Fisc Yr].&amp;[2011]","[Object].[Object Group]","[Object].[Object Group].&amp;[54]","[Object].[Obj Group Nm]","[Object].[Obj Group Nm].&amp;[CLOTHING]"),0)</f>
        <v>0</v>
      </c>
      <c r="V56" s="20">
        <f>IFERROR(GETPIVOTDATA("[Measures].[Jrnl Posting Am]",'[1]Historical Summary Cube'!$AA$5,"[Accounting Period].[Fisc Yr]","[Accounting Period].[Fisc Yr].&amp;[2012]","[Object].[Object Group]","[Object].[Object Group].&amp;[54]","[Object].[Obj Group Nm]","[Object].[Obj Group Nm].&amp;[CLOTHING]"),0)</f>
        <v>0</v>
      </c>
      <c r="W56" s="20">
        <f>IFERROR(GETPIVOTDATA("[Measures].[Jrnl Posting Am]",'[1]Historical Summary Cube'!$AA$5,"[Accounting Period].[Fisc Yr]","[Accounting Period].[Fisc Yr].&amp;[2013]","[Object].[Object Group]","[Object].[Object Group].&amp;[54]","[Object].[Obj Group Nm]","[Object].[Obj Group Nm].&amp;[CLOTHING]"),0)</f>
        <v>0</v>
      </c>
      <c r="X56" s="20">
        <f>IFERROR(GETPIVOTDATA("[Measures].[Jrnl Posting Am]",'[1]Historical Summary Cube'!$AA$5,"[Accounting Period].[Fisc Yr]","[Accounting Period].[Fisc Yr].&amp;[2014]","[Object].[Object Group]","[Object].[Object Group].&amp;[54]","[Object].[Obj Group Nm]","[Object].[Obj Group Nm].&amp;[CLOTHING]"),0)</f>
        <v>0</v>
      </c>
      <c r="Y56" s="20">
        <f>IFERROR(GETPIVOTDATA("[Measures].[Jrnl Posting Am]",'[1]Historical Summary Cube'!$AA$5,"[Accounting Period].[Fisc Yr]","[Accounting Period].[Fisc Yr].&amp;[2015]","[Object].[Object Group]","[Object].[Object Group].&amp;[54]","[Object].[Obj Group Nm]","[Object].[Obj Group Nm].&amp;[CLOTHING]"),0)</f>
        <v>0</v>
      </c>
      <c r="Z56" s="20">
        <f>IFERROR(GETPIVOTDATA("[Measures].[Jrnl Posting Am]",'[1]Historical Summary Cube'!$AA$5,"[Accounting Period].[Fisc Yr]","[Accounting Period].[Fisc Yr].&amp;[2016]","[Object].[Object Group]","[Object].[Object Group].&amp;[54]","[Object].[Obj Group Nm]","[Object].[Obj Group Nm].&amp;[CLOTHING]"),0)</f>
        <v>0</v>
      </c>
      <c r="AA56" s="20">
        <f>IFERROR(GETPIVOTDATA("[Measures].[Jrnl Posting Am]",'[1]Historical Summary Cube'!$AA$5,"[Accounting Period].[Fisc Yr]","[Accounting Period].[Fisc Yr].&amp;[2017]","[Object].[Object Group]","[Object].[Object Group].&amp;[54]","[Object].[Obj Group Nm]","[Object].[Obj Group Nm].&amp;[CLOTHING]"),0)</f>
        <v>0</v>
      </c>
      <c r="AB56" s="20">
        <f>IFERROR(GETPIVOTDATA("[Measures].[Jrnl Posting Am]",'[1]Historical Summary Cube'!$AA$5,"[Accounting Period].[Fisc Yr]","[Accounting Period].[Fisc Yr].&amp;[2018]","[Object].[Object Group]","[Object].[Object Group].&amp;[54]","[Object].[Obj Group Nm]","[Object].[Obj Group Nm].&amp;[CLOTHING]"),0)</f>
        <v>219.7</v>
      </c>
      <c r="AC56" s="20">
        <f>IFERROR(GETPIVOTDATA("[Measures].[Jrnl Posting Am]",'[1]Historical Summary Cube'!$AA$5,"[Accounting Period].[Fisc Yr]","[Accounting Period].[Fisc Yr].&amp;[2019]","[Object].[Object Group]","[Object].[Object Group].&amp;[54]","[Object].[Obj Group Nm]","[Object].[Obj Group Nm].&amp;[CLOTHING]"),0)</f>
        <v>280.54000000000002</v>
      </c>
      <c r="AD56" s="20">
        <f>IFERROR(GETPIVOTDATA("[Measures].[Jrnl Posting Am]",'[1]Historical Summary Cube'!$AA$5,"[Accounting Period].[Fisc Yr]","[Accounting Period].[Fisc Yr].&amp;[2020]","[Object].[Object Group]","[Object].[Object Group].&amp;[54]","[Object].[Obj Group Nm]","[Object].[Obj Group Nm].&amp;[CLOTHING]"),0)</f>
        <v>736.8</v>
      </c>
      <c r="AE56" s="20">
        <f>IFERROR(GETPIVOTDATA("[Measures].[Jrnl Posting Am]",'[1]Historical Summary Cube'!$AA$5,"[Accounting Period].[Fisc Yr]","[Accounting Period].[Fisc Yr].&amp;[2021]","[Object].[Object Group]","[Object].[Object Group].&amp;[54]","[Object].[Obj Group Nm]","[Object].[Obj Group Nm].&amp;[CLOTHING]"),0)</f>
        <v>0</v>
      </c>
      <c r="AF56" s="20">
        <f>IFERROR(GETPIVOTDATA("[Measures].[Jrnl Posting Am]",'[1]Historical Summary Cube'!$AA$5,"[Accounting Period].[Fisc Yr]","[Accounting Period].[Fisc Yr].&amp;[2022]","[Object].[Object Group]","[Object].[Object Group].&amp;[54]","[Object].[Obj Group Nm]","[Object].[Obj Group Nm].&amp;[CLOTHING]"),0)</f>
        <v>321.89999999999998</v>
      </c>
      <c r="AG56" s="20">
        <f>IFERROR(GETPIVOTDATA("[Measures].[Jrnl Posting Am]",'[1]Historical Summary Cube'!$AA$5,"[Accounting Period].[Fisc Yr]","[Accounting Period].[Fisc Yr].&amp;[2023]","[Object].[Object Group]","[Object].[Object Group].&amp;[54]","[Object].[Obj Group Nm]","[Object].[Obj Group Nm].&amp;[CLOTHING]"),0)</f>
        <v>0</v>
      </c>
      <c r="AH56" s="20">
        <f>IFERROR(GETPIVOTDATA("[Measures].[Jrnl Posting Am]",'[1]Historical Summary Cube'!$AA$5,"[Accounting Period].[Fisc Yr]","[Accounting Period].[Fisc Yr].&amp;[2024]","[Object].[Object Group]","[Object].[Object Group].&amp;[54]","[Object].[Obj Group Nm]","[Object].[Obj Group Nm].&amp;[CLOTHING]"),0)</f>
        <v>0</v>
      </c>
      <c r="AI56" s="11"/>
      <c r="AJ56" s="11"/>
    </row>
    <row r="57" spans="1:36" s="10" customFormat="1" ht="15.5" x14ac:dyDescent="0.35">
      <c r="A57" s="25" t="s">
        <v>80</v>
      </c>
      <c r="B57" s="30" t="s">
        <v>81</v>
      </c>
      <c r="C57" s="20">
        <v>0</v>
      </c>
      <c r="D57" s="20">
        <v>417.03</v>
      </c>
      <c r="E57" s="20">
        <v>497.32000000000005</v>
      </c>
      <c r="F57" s="20">
        <v>0</v>
      </c>
      <c r="G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Period].&amp;[5]"),0)</f>
        <v>0</v>
      </c>
      <c r="H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Period].&amp;[6]"),0)</f>
        <v>0</v>
      </c>
      <c r="I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Period].&amp;[7]"),0)</f>
        <v>0</v>
      </c>
      <c r="J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Period].&amp;[8]"),0)</f>
        <v>0</v>
      </c>
      <c r="K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Period].&amp;[9]"),0)</f>
        <v>0</v>
      </c>
      <c r="L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Period].&amp;[10]"),0)</f>
        <v>0</v>
      </c>
      <c r="M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Period].&amp;[11]"),0)</f>
        <v>0</v>
      </c>
      <c r="N57" s="20">
        <f>IFERROR(GETPIVOTDATA("[Measures].[Jrnl Posting Am]",'[1]Historical Summary Cube'!$AA$73,"[Object].[Object Group]","[Object].[Object Group].&amp;[55]","[Object].[Obj Group Nm]","[Object].[Obj Group Nm].&amp;[EQUIPMENT AND TECHNOLOGY]","[Accounting Period].[Fisc Period]","[Accounting Period].[Fisc Period].&amp;[12]"),0)</f>
        <v>0</v>
      </c>
      <c r="O57" s="11">
        <f t="shared" si="5"/>
        <v>914.35</v>
      </c>
      <c r="P57" s="12"/>
      <c r="Q57" s="12"/>
      <c r="R57" s="20">
        <f>IFERROR(GETPIVOTDATA("[Measures].[Jrnl Posting Am]",'[1]Historical Summary Cube'!$AA$5,"[Accounting Period].[Fisc Yr]","[Accounting Period].[Fisc Yr].&amp;[2008]","[Object].[Object Group]","[Object].[Object Group].&amp;[55]","[Object].[Obj Group Nm]","[Object].[Obj Group Nm].&amp;[EQUIPMENT AND TECHNOLOGY]"),0)</f>
        <v>0</v>
      </c>
      <c r="S57" s="20">
        <f>IFERROR(GETPIVOTDATA("[Measures].[Jrnl Posting Am]",'[1]Historical Summary Cube'!$AA$5,"[Accounting Period].[Fisc Yr]","[Accounting Period].[Fisc Yr].&amp;[2009]","[Object].[Object Group]","[Object].[Object Group].&amp;[55]","[Object].[Obj Group Nm]","[Object].[Obj Group Nm].&amp;[EQUIPMENT AND TECHNOLOGY]"),0)</f>
        <v>449.49</v>
      </c>
      <c r="T57" s="20">
        <f>IFERROR(GETPIVOTDATA("[Measures].[Jrnl Posting Am]",'[1]Historical Summary Cube'!$AA$5,"[Accounting Period].[Fisc Yr]","[Accounting Period].[Fisc Yr].&amp;[2010]","[Object].[Object Group]","[Object].[Object Group].&amp;[55]","[Object].[Obj Group Nm]","[Object].[Obj Group Nm].&amp;[EQUIPMENT AND TECHNOLOGY]"),0)</f>
        <v>0</v>
      </c>
      <c r="U57" s="20">
        <f>IFERROR(GETPIVOTDATA("[Measures].[Jrnl Posting Am]",'[1]Historical Summary Cube'!$AA$5,"[Accounting Period].[Fisc Yr]","[Accounting Period].[Fisc Yr].&amp;[2011]","[Object].[Object Group]","[Object].[Object Group].&amp;[55]","[Object].[Obj Group Nm]","[Object].[Obj Group Nm].&amp;[EQUIPMENT AND TECHNOLOGY]"),0)</f>
        <v>0</v>
      </c>
      <c r="V57" s="20">
        <f>IFERROR(GETPIVOTDATA("[Measures].[Jrnl Posting Am]",'[1]Historical Summary Cube'!$AA$5,"[Accounting Period].[Fisc Yr]","[Accounting Period].[Fisc Yr].&amp;[2012]","[Object].[Object Group]","[Object].[Object Group].&amp;[55]","[Object].[Obj Group Nm]","[Object].[Obj Group Nm].&amp;[EQUIPMENT AND TECHNOLOGY]"),0)</f>
        <v>115.98</v>
      </c>
      <c r="W57" s="20">
        <f>IFERROR(GETPIVOTDATA("[Measures].[Jrnl Posting Am]",'[1]Historical Summary Cube'!$AA$5,"[Accounting Period].[Fisc Yr]","[Accounting Period].[Fisc Yr].&amp;[2013]","[Object].[Object Group]","[Object].[Object Group].&amp;[55]","[Object].[Obj Group Nm]","[Object].[Obj Group Nm].&amp;[EQUIPMENT AND TECHNOLOGY]"),0)</f>
        <v>0</v>
      </c>
      <c r="X57" s="20">
        <f>IFERROR(GETPIVOTDATA("[Measures].[Jrnl Posting Am]",'[1]Historical Summary Cube'!$AA$5,"[Accounting Period].[Fisc Yr]","[Accounting Period].[Fisc Yr].&amp;[2014]","[Object].[Object Group]","[Object].[Object Group].&amp;[55]","[Object].[Obj Group Nm]","[Object].[Obj Group Nm].&amp;[EQUIPMENT AND TECHNOLOGY]"),0)</f>
        <v>0</v>
      </c>
      <c r="Y57" s="20">
        <f>IFERROR(GETPIVOTDATA("[Measures].[Jrnl Posting Am]",'[1]Historical Summary Cube'!$AA$5,"[Accounting Period].[Fisc Yr]","[Accounting Period].[Fisc Yr].&amp;[2015]","[Object].[Object Group]","[Object].[Object Group].&amp;[55]","[Object].[Obj Group Nm]","[Object].[Obj Group Nm].&amp;[EQUIPMENT AND TECHNOLOGY]"),0)</f>
        <v>0</v>
      </c>
      <c r="Z57" s="20">
        <f>IFERROR(GETPIVOTDATA("[Measures].[Jrnl Posting Am]",'[1]Historical Summary Cube'!$AA$5,"[Accounting Period].[Fisc Yr]","[Accounting Period].[Fisc Yr].&amp;[2016]","[Object].[Object Group]","[Object].[Object Group].&amp;[55]","[Object].[Obj Group Nm]","[Object].[Obj Group Nm].&amp;[EQUIPMENT AND TECHNOLOGY]"),0)</f>
        <v>351.36</v>
      </c>
      <c r="AA57" s="20">
        <f>IFERROR(GETPIVOTDATA("[Measures].[Jrnl Posting Am]",'[1]Historical Summary Cube'!$AA$5,"[Accounting Period].[Fisc Yr]","[Accounting Period].[Fisc Yr].&amp;[2017]","[Object].[Object Group]","[Object].[Object Group].&amp;[55]","[Object].[Obj Group Nm]","[Object].[Obj Group Nm].&amp;[EQUIPMENT AND TECHNOLOGY]"),0)</f>
        <v>378.63</v>
      </c>
      <c r="AB57" s="20">
        <f>IFERROR(GETPIVOTDATA("[Measures].[Jrnl Posting Am]",'[1]Historical Summary Cube'!$AA$5,"[Accounting Period].[Fisc Yr]","[Accounting Period].[Fisc Yr].&amp;[2018]","[Object].[Object Group]","[Object].[Object Group].&amp;[55]","[Object].[Obj Group Nm]","[Object].[Obj Group Nm].&amp;[EQUIPMENT AND TECHNOLOGY]"),0)</f>
        <v>0</v>
      </c>
      <c r="AC57" s="20">
        <f>IFERROR(GETPIVOTDATA("[Measures].[Jrnl Posting Am]",'[1]Historical Summary Cube'!$AA$5,"[Accounting Period].[Fisc Yr]","[Accounting Period].[Fisc Yr].&amp;[2019]","[Object].[Object Group]","[Object].[Object Group].&amp;[55]","[Object].[Obj Group Nm]","[Object].[Obj Group Nm].&amp;[EQUIPMENT AND TECHNOLOGY]"),0)</f>
        <v>1000.68</v>
      </c>
      <c r="AD57" s="20">
        <f>IFERROR(GETPIVOTDATA("[Measures].[Jrnl Posting Am]",'[1]Historical Summary Cube'!$AA$5,"[Accounting Period].[Fisc Yr]","[Accounting Period].[Fisc Yr].&amp;[2020]","[Object].[Object Group]","[Object].[Object Group].&amp;[55]","[Object].[Obj Group Nm]","[Object].[Obj Group Nm].&amp;[EQUIPMENT AND TECHNOLOGY]"),0)</f>
        <v>1165.3700000000001</v>
      </c>
      <c r="AE57" s="20">
        <f>IFERROR(GETPIVOTDATA("[Measures].[Jrnl Posting Am]",'[1]Historical Summary Cube'!$AA$5,"[Accounting Period].[Fisc Yr]","[Accounting Period].[Fisc Yr].&amp;[2021]","[Object].[Object Group]","[Object].[Object Group].&amp;[55]","[Object].[Obj Group Nm]","[Object].[Obj Group Nm].&amp;[EQUIPMENT AND TECHNOLOGY]"),0)</f>
        <v>1547.8400000000001</v>
      </c>
      <c r="AF57" s="20">
        <f>IFERROR(GETPIVOTDATA("[Measures].[Jrnl Posting Am]",'[1]Historical Summary Cube'!$AA$5,"[Accounting Period].[Fisc Yr]","[Accounting Period].[Fisc Yr].&amp;[2022]","[Object].[Object Group]","[Object].[Object Group].&amp;[55]","[Object].[Obj Group Nm]","[Object].[Obj Group Nm].&amp;[EQUIPMENT AND TECHNOLOGY]"),0)</f>
        <v>3631.3599999999997</v>
      </c>
      <c r="AG57" s="20">
        <f>IFERROR(GETPIVOTDATA("[Measures].[Jrnl Posting Am]",'[1]Historical Summary Cube'!$AA$5,"[Accounting Period].[Fisc Yr]","[Accounting Period].[Fisc Yr].&amp;[2023]","[Object].[Object Group]","[Object].[Object Group].&amp;[55]","[Object].[Obj Group Nm]","[Object].[Obj Group Nm].&amp;[EQUIPMENT AND TECHNOLOGY]"),0)</f>
        <v>3847.67</v>
      </c>
      <c r="AH57" s="20">
        <f>IFERROR(GETPIVOTDATA("[Measures].[Jrnl Posting Am]",'[1]Historical Summary Cube'!$AA$5,"[Accounting Period].[Fisc Yr]","[Accounting Period].[Fisc Yr].&amp;[2024]","[Object].[Object Group]","[Object].[Object Group].&amp;[55]","[Object].[Obj Group Nm]","[Object].[Obj Group Nm].&amp;[EQUIPMENT AND TECHNOLOGY]"),0)</f>
        <v>914.35000000000014</v>
      </c>
      <c r="AI57" s="11"/>
      <c r="AJ57" s="11"/>
    </row>
    <row r="58" spans="1:36" s="10" customFormat="1" ht="15.5" x14ac:dyDescent="0.35">
      <c r="A58" s="25" t="s">
        <v>82</v>
      </c>
      <c r="B58" s="30" t="s">
        <v>83</v>
      </c>
      <c r="C58" s="20">
        <v>77.53</v>
      </c>
      <c r="D58" s="20">
        <v>0</v>
      </c>
      <c r="E58" s="20">
        <v>252.50000000000003</v>
      </c>
      <c r="F58" s="20">
        <v>0</v>
      </c>
      <c r="G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Period].&amp;[5]"),0)</f>
        <v>0</v>
      </c>
      <c r="H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Period].&amp;[6]"),0)</f>
        <v>0</v>
      </c>
      <c r="I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Period].&amp;[7]"),0)</f>
        <v>0</v>
      </c>
      <c r="J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Period].&amp;[8]"),0)</f>
        <v>0</v>
      </c>
      <c r="K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Period].&amp;[9]"),0)</f>
        <v>0</v>
      </c>
      <c r="L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Period].&amp;[10]"),0)</f>
        <v>0</v>
      </c>
      <c r="M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Period].&amp;[11]"),0)</f>
        <v>0</v>
      </c>
      <c r="N58" s="20">
        <f>IFERROR(GETPIVOTDATA("[Measures].[Jrnl Posting Am]",'[1]Historical Summary Cube'!$AA$73,"[Object].[Object Group]","[Object].[Object Group].&amp;[56]","[Object].[Obj Group Nm]","[Object].[Obj Group Nm].&amp;[OFFICE &amp; OTHER SUPPLIES]","[Accounting Period].[Fisc Period]","[Accounting Period].[Fisc Period].&amp;[12]"),0)</f>
        <v>0</v>
      </c>
      <c r="O58" s="11">
        <f t="shared" si="5"/>
        <v>330.03000000000003</v>
      </c>
      <c r="P58" s="12"/>
      <c r="Q58" s="12"/>
      <c r="R58" s="20">
        <f>IFERROR(GETPIVOTDATA("[Measures].[Jrnl Posting Am]",'[1]Historical Summary Cube'!$AA$5,"[Accounting Period].[Fisc Yr]","[Accounting Period].[Fisc Yr].&amp;[2008]","[Object].[Object Group]","[Object].[Object Group].&amp;[56]","[Object].[Obj Group Nm]","[Object].[Obj Group Nm].&amp;[OFFICE &amp; OTHER SUPPLIES]"),0)</f>
        <v>2593.7599999999993</v>
      </c>
      <c r="S58" s="20">
        <f>IFERROR(GETPIVOTDATA("[Measures].[Jrnl Posting Am]",'[1]Historical Summary Cube'!$AA$5,"[Accounting Period].[Fisc Yr]","[Accounting Period].[Fisc Yr].&amp;[2009]","[Object].[Object Group]","[Object].[Object Group].&amp;[56]","[Object].[Obj Group Nm]","[Object].[Obj Group Nm].&amp;[OFFICE &amp; OTHER SUPPLIES]"),0)</f>
        <v>5888.07</v>
      </c>
      <c r="T58" s="20">
        <f>IFERROR(GETPIVOTDATA("[Measures].[Jrnl Posting Am]",'[1]Historical Summary Cube'!$AA$5,"[Accounting Period].[Fisc Yr]","[Accounting Period].[Fisc Yr].&amp;[2010]","[Object].[Object Group]","[Object].[Object Group].&amp;[56]","[Object].[Obj Group Nm]","[Object].[Obj Group Nm].&amp;[OFFICE &amp; OTHER SUPPLIES]"),0)</f>
        <v>4970.28</v>
      </c>
      <c r="U58" s="20">
        <f>IFERROR(GETPIVOTDATA("[Measures].[Jrnl Posting Am]",'[1]Historical Summary Cube'!$AA$5,"[Accounting Period].[Fisc Yr]","[Accounting Period].[Fisc Yr].&amp;[2011]","[Object].[Object Group]","[Object].[Object Group].&amp;[56]","[Object].[Obj Group Nm]","[Object].[Obj Group Nm].&amp;[OFFICE &amp; OTHER SUPPLIES]"),0)</f>
        <v>5997.4699999999993</v>
      </c>
      <c r="V58" s="20">
        <f>IFERROR(GETPIVOTDATA("[Measures].[Jrnl Posting Am]",'[1]Historical Summary Cube'!$AA$5,"[Accounting Period].[Fisc Yr]","[Accounting Period].[Fisc Yr].&amp;[2012]","[Object].[Object Group]","[Object].[Object Group].&amp;[56]","[Object].[Obj Group Nm]","[Object].[Obj Group Nm].&amp;[OFFICE &amp; OTHER SUPPLIES]"),0)</f>
        <v>4895.08</v>
      </c>
      <c r="W58" s="20">
        <f>IFERROR(GETPIVOTDATA("[Measures].[Jrnl Posting Am]",'[1]Historical Summary Cube'!$AA$5,"[Accounting Period].[Fisc Yr]","[Accounting Period].[Fisc Yr].&amp;[2013]","[Object].[Object Group]","[Object].[Object Group].&amp;[56]","[Object].[Obj Group Nm]","[Object].[Obj Group Nm].&amp;[OFFICE &amp; OTHER SUPPLIES]"),0)</f>
        <v>4932.7300000000014</v>
      </c>
      <c r="X58" s="20">
        <f>IFERROR(GETPIVOTDATA("[Measures].[Jrnl Posting Am]",'[1]Historical Summary Cube'!$AA$5,"[Accounting Period].[Fisc Yr]","[Accounting Period].[Fisc Yr].&amp;[2014]","[Object].[Object Group]","[Object].[Object Group].&amp;[56]","[Object].[Obj Group Nm]","[Object].[Obj Group Nm].&amp;[OFFICE &amp; OTHER SUPPLIES]"),0)</f>
        <v>4568.3499999999985</v>
      </c>
      <c r="Y58" s="20">
        <f>IFERROR(GETPIVOTDATA("[Measures].[Jrnl Posting Am]",'[1]Historical Summary Cube'!$AA$5,"[Accounting Period].[Fisc Yr]","[Accounting Period].[Fisc Yr].&amp;[2015]","[Object].[Object Group]","[Object].[Object Group].&amp;[56]","[Object].[Obj Group Nm]","[Object].[Obj Group Nm].&amp;[OFFICE &amp; OTHER SUPPLIES]"),0)</f>
        <v>4584.5300000000016</v>
      </c>
      <c r="Z58" s="20">
        <f>IFERROR(GETPIVOTDATA("[Measures].[Jrnl Posting Am]",'[1]Historical Summary Cube'!$AA$5,"[Accounting Period].[Fisc Yr]","[Accounting Period].[Fisc Yr].&amp;[2016]","[Object].[Object Group]","[Object].[Object Group].&amp;[56]","[Object].[Obj Group Nm]","[Object].[Obj Group Nm].&amp;[OFFICE &amp; OTHER SUPPLIES]"),0)</f>
        <v>4750.1000000000013</v>
      </c>
      <c r="AA58" s="20">
        <f>IFERROR(GETPIVOTDATA("[Measures].[Jrnl Posting Am]",'[1]Historical Summary Cube'!$AA$5,"[Accounting Period].[Fisc Yr]","[Accounting Period].[Fisc Yr].&amp;[2017]","[Object].[Object Group]","[Object].[Object Group].&amp;[56]","[Object].[Obj Group Nm]","[Object].[Obj Group Nm].&amp;[OFFICE &amp; OTHER SUPPLIES]"),0)</f>
        <v>6006.1299999999983</v>
      </c>
      <c r="AB58" s="20">
        <f>IFERROR(GETPIVOTDATA("[Measures].[Jrnl Posting Am]",'[1]Historical Summary Cube'!$AA$5,"[Accounting Period].[Fisc Yr]","[Accounting Period].[Fisc Yr].&amp;[2018]","[Object].[Object Group]","[Object].[Object Group].&amp;[56]","[Object].[Obj Group Nm]","[Object].[Obj Group Nm].&amp;[OFFICE &amp; OTHER SUPPLIES]"),0)</f>
        <v>7411.5199999999995</v>
      </c>
      <c r="AC58" s="20">
        <f>IFERROR(GETPIVOTDATA("[Measures].[Jrnl Posting Am]",'[1]Historical Summary Cube'!$AA$5,"[Accounting Period].[Fisc Yr]","[Accounting Period].[Fisc Yr].&amp;[2019]","[Object].[Object Group]","[Object].[Object Group].&amp;[56]","[Object].[Obj Group Nm]","[Object].[Obj Group Nm].&amp;[OFFICE &amp; OTHER SUPPLIES]"),0)</f>
        <v>2117.27</v>
      </c>
      <c r="AD58" s="20">
        <f>IFERROR(GETPIVOTDATA("[Measures].[Jrnl Posting Am]",'[1]Historical Summary Cube'!$AA$5,"[Accounting Period].[Fisc Yr]","[Accounting Period].[Fisc Yr].&amp;[2020]","[Object].[Object Group]","[Object].[Object Group].&amp;[56]","[Object].[Obj Group Nm]","[Object].[Obj Group Nm].&amp;[OFFICE &amp; OTHER SUPPLIES]"),0)</f>
        <v>10440.919999999996</v>
      </c>
      <c r="AE58" s="20">
        <f>IFERROR(GETPIVOTDATA("[Measures].[Jrnl Posting Am]",'[1]Historical Summary Cube'!$AA$5,"[Accounting Period].[Fisc Yr]","[Accounting Period].[Fisc Yr].&amp;[2021]","[Object].[Object Group]","[Object].[Object Group].&amp;[56]","[Object].[Obj Group Nm]","[Object].[Obj Group Nm].&amp;[OFFICE &amp; OTHER SUPPLIES]"),0)</f>
        <v>3313.7899999999995</v>
      </c>
      <c r="AF58" s="20">
        <f>IFERROR(GETPIVOTDATA("[Measures].[Jrnl Posting Am]",'[1]Historical Summary Cube'!$AA$5,"[Accounting Period].[Fisc Yr]","[Accounting Period].[Fisc Yr].&amp;[2022]","[Object].[Object Group]","[Object].[Object Group].&amp;[56]","[Object].[Obj Group Nm]","[Object].[Obj Group Nm].&amp;[OFFICE &amp; OTHER SUPPLIES]"),0)</f>
        <v>3150.5899999999992</v>
      </c>
      <c r="AG58" s="20">
        <f>IFERROR(GETPIVOTDATA("[Measures].[Jrnl Posting Am]",'[1]Historical Summary Cube'!$AA$5,"[Accounting Period].[Fisc Yr]","[Accounting Period].[Fisc Yr].&amp;[2023]","[Object].[Object Group]","[Object].[Object Group].&amp;[56]","[Object].[Obj Group Nm]","[Object].[Obj Group Nm].&amp;[OFFICE &amp; OTHER SUPPLIES]"),0)</f>
        <v>3799.1299999999997</v>
      </c>
      <c r="AH58" s="20">
        <f>IFERROR(GETPIVOTDATA("[Measures].[Jrnl Posting Am]",'[1]Historical Summary Cube'!$AA$5,"[Accounting Period].[Fisc Yr]","[Accounting Period].[Fisc Yr].&amp;[2024]","[Object].[Object Group]","[Object].[Object Group].&amp;[56]","[Object].[Obj Group Nm]","[Object].[Obj Group Nm].&amp;[OFFICE &amp; OTHER SUPPLIES]"),0)</f>
        <v>330.03000000000003</v>
      </c>
      <c r="AI58" s="11"/>
      <c r="AJ58" s="11"/>
    </row>
    <row r="59" spans="1:36" s="10" customFormat="1" ht="15.5" x14ac:dyDescent="0.35">
      <c r="A59" s="25" t="s">
        <v>84</v>
      </c>
      <c r="B59" s="30" t="s">
        <v>85</v>
      </c>
      <c r="C59" s="20">
        <v>0</v>
      </c>
      <c r="D59" s="20">
        <v>0</v>
      </c>
      <c r="E59" s="20">
        <v>0</v>
      </c>
      <c r="F59" s="20">
        <v>0</v>
      </c>
      <c r="G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Period].&amp;[5]"),0)</f>
        <v>0</v>
      </c>
      <c r="H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Period].&amp;[6]"),0)</f>
        <v>0</v>
      </c>
      <c r="I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Period].&amp;[7]"),0)</f>
        <v>0</v>
      </c>
      <c r="J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Period].&amp;[8]"),0)</f>
        <v>0</v>
      </c>
      <c r="K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Period].&amp;[9]"),0)</f>
        <v>0</v>
      </c>
      <c r="L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Period].&amp;[10]"),0)</f>
        <v>0</v>
      </c>
      <c r="M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Period].&amp;[11]"),0)</f>
        <v>0</v>
      </c>
      <c r="N59" s="20">
        <f>IFERROR(GETPIVOTDATA("[Measures].[Jrnl Posting Am]",'[1]Historical Summary Cube'!$AA$73,"[Object].[Object Group]","[Object].[Object Group].&amp;[58]","[Object].[Obj Group Nm]","[Object].[Obj Group Nm].&amp;[HIGHWAY MATERIALS]","[Accounting Period].[Fisc Period]","[Accounting Period].[Fisc Period].&amp;[12]"),0)</f>
        <v>0</v>
      </c>
      <c r="O59" s="11">
        <f t="shared" si="5"/>
        <v>0</v>
      </c>
      <c r="P59" s="12"/>
      <c r="Q59" s="12"/>
      <c r="R59" s="20">
        <f>IFERROR(GETPIVOTDATA("[Measures].[Jrnl Posting Am]",'[1]Historical Summary Cube'!$AA$5,"[Accounting Period].[Fisc Yr]","[Accounting Period].[Fisc Yr].&amp;[2008]","[Object].[Object Group]","[Object].[Object Group].&amp;[58]","[Object].[Obj Group Nm]","[Object].[Obj Group Nm].&amp;[HIGHWAY MATERIALS]"),0)</f>
        <v>0</v>
      </c>
      <c r="S59" s="20">
        <f>IFERROR(GETPIVOTDATA("[Measures].[Jrnl Posting Am]",'[1]Historical Summary Cube'!$AA$5,"[Accounting Period].[Fisc Yr]","[Accounting Period].[Fisc Yr].&amp;[2009]","[Object].[Object Group]","[Object].[Object Group].&amp;[58]","[Object].[Obj Group Nm]","[Object].[Obj Group Nm].&amp;[HIGHWAY MATERIALS]"),0)</f>
        <v>0</v>
      </c>
      <c r="T59" s="20">
        <f>IFERROR(GETPIVOTDATA("[Measures].[Jrnl Posting Am]",'[1]Historical Summary Cube'!$AA$5,"[Accounting Period].[Fisc Yr]","[Accounting Period].[Fisc Yr].&amp;[2010]","[Object].[Object Group]","[Object].[Object Group].&amp;[58]","[Object].[Obj Group Nm]","[Object].[Obj Group Nm].&amp;[HIGHWAY MATERIALS]"),0)</f>
        <v>0</v>
      </c>
      <c r="U59" s="20">
        <f>IFERROR(GETPIVOTDATA("[Measures].[Jrnl Posting Am]",'[1]Historical Summary Cube'!$AA$5,"[Accounting Period].[Fisc Yr]","[Accounting Period].[Fisc Yr].&amp;[2011]","[Object].[Object Group]","[Object].[Object Group].&amp;[58]","[Object].[Obj Group Nm]","[Object].[Obj Group Nm].&amp;[HIGHWAY MATERIALS]"),0)</f>
        <v>0</v>
      </c>
      <c r="V59" s="20">
        <f>IFERROR(GETPIVOTDATA("[Measures].[Jrnl Posting Am]",'[1]Historical Summary Cube'!$AA$5,"[Accounting Period].[Fisc Yr]","[Accounting Period].[Fisc Yr].&amp;[2012]","[Object].[Object Group]","[Object].[Object Group].&amp;[58]","[Object].[Obj Group Nm]","[Object].[Obj Group Nm].&amp;[HIGHWAY MATERIALS]"),0)</f>
        <v>0</v>
      </c>
      <c r="W59" s="20">
        <f>IFERROR(GETPIVOTDATA("[Measures].[Jrnl Posting Am]",'[1]Historical Summary Cube'!$AA$5,"[Accounting Period].[Fisc Yr]","[Accounting Period].[Fisc Yr].&amp;[2013]","[Object].[Object Group]","[Object].[Object Group].&amp;[58]","[Object].[Obj Group Nm]","[Object].[Obj Group Nm].&amp;[HIGHWAY MATERIALS]"),0)</f>
        <v>0</v>
      </c>
      <c r="X59" s="20">
        <f>IFERROR(GETPIVOTDATA("[Measures].[Jrnl Posting Am]",'[1]Historical Summary Cube'!$AA$5,"[Accounting Period].[Fisc Yr]","[Accounting Period].[Fisc Yr].&amp;[2014]","[Object].[Object Group]","[Object].[Object Group].&amp;[58]","[Object].[Obj Group Nm]","[Object].[Obj Group Nm].&amp;[HIGHWAY MATERIALS]"),0)</f>
        <v>0</v>
      </c>
      <c r="Y59" s="20">
        <f>IFERROR(GETPIVOTDATA("[Measures].[Jrnl Posting Am]",'[1]Historical Summary Cube'!$AA$5,"[Accounting Period].[Fisc Yr]","[Accounting Period].[Fisc Yr].&amp;[2015]","[Object].[Object Group]","[Object].[Object Group].&amp;[58]","[Object].[Obj Group Nm]","[Object].[Obj Group Nm].&amp;[HIGHWAY MATERIALS]"),0)</f>
        <v>0</v>
      </c>
      <c r="Z59" s="20">
        <f>IFERROR(GETPIVOTDATA("[Measures].[Jrnl Posting Am]",'[1]Historical Summary Cube'!$AA$5,"[Accounting Period].[Fisc Yr]","[Accounting Period].[Fisc Yr].&amp;[2016]","[Object].[Object Group]","[Object].[Object Group].&amp;[58]","[Object].[Obj Group Nm]","[Object].[Obj Group Nm].&amp;[HIGHWAY MATERIALS]"),0)</f>
        <v>0</v>
      </c>
      <c r="AA59" s="20">
        <f>IFERROR(GETPIVOTDATA("[Measures].[Jrnl Posting Am]",'[1]Historical Summary Cube'!$AA$5,"[Accounting Period].[Fisc Yr]","[Accounting Period].[Fisc Yr].&amp;[2017]","[Object].[Object Group]","[Object].[Object Group].&amp;[58]","[Object].[Obj Group Nm]","[Object].[Obj Group Nm].&amp;[HIGHWAY MATERIALS]"),0)</f>
        <v>0</v>
      </c>
      <c r="AB59" s="20">
        <f>IFERROR(GETPIVOTDATA("[Measures].[Jrnl Posting Am]",'[1]Historical Summary Cube'!$AA$5,"[Accounting Period].[Fisc Yr]","[Accounting Period].[Fisc Yr].&amp;[2018]","[Object].[Object Group]","[Object].[Object Group].&amp;[58]","[Object].[Obj Group Nm]","[Object].[Obj Group Nm].&amp;[HIGHWAY MATERIALS]"),0)</f>
        <v>0</v>
      </c>
      <c r="AC59" s="20">
        <f>IFERROR(GETPIVOTDATA("[Measures].[Jrnl Posting Am]",'[1]Historical Summary Cube'!$AA$5,"[Accounting Period].[Fisc Yr]","[Accounting Period].[Fisc Yr].&amp;[2019]","[Object].[Object Group]","[Object].[Object Group].&amp;[58]","[Object].[Obj Group Nm]","[Object].[Obj Group Nm].&amp;[HIGHWAY MATERIALS]"),0)</f>
        <v>0</v>
      </c>
      <c r="AD59" s="20">
        <f>IFERROR(GETPIVOTDATA("[Measures].[Jrnl Posting Am]",'[1]Historical Summary Cube'!$AA$5,"[Accounting Period].[Fisc Yr]","[Accounting Period].[Fisc Yr].&amp;[2020]","[Object].[Object Group]","[Object].[Object Group].&amp;[58]","[Object].[Obj Group Nm]","[Object].[Obj Group Nm].&amp;[HIGHWAY MATERIALS]"),0)</f>
        <v>0</v>
      </c>
      <c r="AE59" s="20">
        <f>IFERROR(GETPIVOTDATA("[Measures].[Jrnl Posting Am]",'[1]Historical Summary Cube'!$AA$5,"[Accounting Period].[Fisc Yr]","[Accounting Period].[Fisc Yr].&amp;[2021]","[Object].[Object Group]","[Object].[Object Group].&amp;[58]","[Object].[Obj Group Nm]","[Object].[Obj Group Nm].&amp;[HIGHWAY MATERIALS]"),0)</f>
        <v>0</v>
      </c>
      <c r="AF59" s="20">
        <f>IFERROR(GETPIVOTDATA("[Measures].[Jrnl Posting Am]",'[1]Historical Summary Cube'!$AA$5,"[Accounting Period].[Fisc Yr]","[Accounting Period].[Fisc Yr].&amp;[2022]","[Object].[Object Group]","[Object].[Object Group].&amp;[58]","[Object].[Obj Group Nm]","[Object].[Obj Group Nm].&amp;[HIGHWAY MATERIALS]"),0)</f>
        <v>0</v>
      </c>
      <c r="AG59" s="20">
        <f>IFERROR(GETPIVOTDATA("[Measures].[Jrnl Posting Am]",'[1]Historical Summary Cube'!$AA$5,"[Accounting Period].[Fisc Yr]","[Accounting Period].[Fisc Yr].&amp;[2023]","[Object].[Object Group]","[Object].[Object Group].&amp;[58]","[Object].[Obj Group Nm]","[Object].[Obj Group Nm].&amp;[HIGHWAY MATERIALS]"),0)</f>
        <v>0</v>
      </c>
      <c r="AH59" s="20">
        <f>IFERROR(GETPIVOTDATA("[Measures].[Jrnl Posting Am]",'[1]Historical Summary Cube'!$AA$5,"[Accounting Period].[Fisc Yr]","[Accounting Period].[Fisc Yr].&amp;[2024]","[Object].[Object Group]","[Object].[Object Group].&amp;[58]","[Object].[Obj Group Nm]","[Object].[Obj Group Nm].&amp;[HIGHWAY MATERIALS]"),0)</f>
        <v>0</v>
      </c>
      <c r="AI59" s="11"/>
      <c r="AJ59" s="11"/>
    </row>
    <row r="60" spans="1:36" s="10" customFormat="1" ht="15.5" x14ac:dyDescent="0.35">
      <c r="A60" s="25">
        <v>63</v>
      </c>
      <c r="B60" s="30" t="s">
        <v>86</v>
      </c>
      <c r="C60" s="20">
        <v>0</v>
      </c>
      <c r="D60" s="20">
        <v>0</v>
      </c>
      <c r="E60" s="20">
        <v>0</v>
      </c>
      <c r="F60" s="20">
        <v>0</v>
      </c>
      <c r="G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Period].&amp;[5]"),0)</f>
        <v>0</v>
      </c>
      <c r="H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Period].&amp;[6]"),0)</f>
        <v>0</v>
      </c>
      <c r="I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Period].&amp;[7]"),0)</f>
        <v>0</v>
      </c>
      <c r="J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Period].&amp;[8]"),0)</f>
        <v>0</v>
      </c>
      <c r="K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Period].&amp;[9]"),0)</f>
        <v>0</v>
      </c>
      <c r="L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Period].&amp;[10]"),0)</f>
        <v>0</v>
      </c>
      <c r="M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Period].&amp;[11]"),0)</f>
        <v>0</v>
      </c>
      <c r="N60" s="20">
        <f>IFERROR(GETPIVOTDATA("[Measures].[Jrnl Posting Am]",'[1]Historical Summary Cube'!$AA$73,"[Object].[Object Group]","[Object].[Object Group].&amp;[63]","[Object].[Obj Group Nm]","[Object].[Obj Group Nm].&amp;[GRANTS TO CITIES AND TOWNS]","[Accounting Period].[Fisc Period]","[Accounting Period].[Fisc Period].&amp;[12]"),0)</f>
        <v>0</v>
      </c>
      <c r="O60" s="11">
        <f t="shared" si="5"/>
        <v>0</v>
      </c>
      <c r="P60" s="12"/>
      <c r="Q60" s="12"/>
      <c r="R60" s="20">
        <f>IFERROR(GETPIVOTDATA("[Measures].[Jrnl Posting Am]",'[1]Historical Summary Cube'!$AA$5,"[Accounting Period].[Fisc Yr]","[Accounting Period].[Fisc Yr].&amp;[2008]","[Object].[Object Group]","[Object].[Object Group].&amp;[63]","[Object].[Obj Group Nm]","[Object].[Obj Group Nm].&amp;[GRANTS TO CITIES AND TOWNS]"),0)</f>
        <v>0</v>
      </c>
      <c r="S60" s="20">
        <f>IFERROR(GETPIVOTDATA("[Measures].[Jrnl Posting Am]",'[1]Historical Summary Cube'!$AA$5,"[Accounting Period].[Fisc Yr]","[Accounting Period].[Fisc Yr].&amp;[2009]","[Object].[Object Group]","[Object].[Object Group].&amp;[63]","[Object].[Obj Group Nm]","[Object].[Obj Group Nm].&amp;[GRANTS TO CITIES AND TOWNS]"),0)</f>
        <v>0</v>
      </c>
      <c r="T60" s="20">
        <f>IFERROR(GETPIVOTDATA("[Measures].[Jrnl Posting Am]",'[1]Historical Summary Cube'!$AA$5,"[Accounting Period].[Fisc Yr]","[Accounting Period].[Fisc Yr].&amp;[2010]","[Object].[Object Group]","[Object].[Object Group].&amp;[63]","[Object].[Obj Group Nm]","[Object].[Obj Group Nm].&amp;[GRANTS TO CITIES AND TOWNS]"),0)</f>
        <v>0</v>
      </c>
      <c r="U60" s="20">
        <f>IFERROR(GETPIVOTDATA("[Measures].[Jrnl Posting Am]",'[1]Historical Summary Cube'!$AA$5,"[Accounting Period].[Fisc Yr]","[Accounting Period].[Fisc Yr].&amp;[2011]","[Object].[Object Group]","[Object].[Object Group].&amp;[63]","[Object].[Obj Group Nm]","[Object].[Obj Group Nm].&amp;[GRANTS TO CITIES AND TOWNS]"),0)</f>
        <v>0</v>
      </c>
      <c r="V60" s="20">
        <f>IFERROR(GETPIVOTDATA("[Measures].[Jrnl Posting Am]",'[1]Historical Summary Cube'!$AA$5,"[Accounting Period].[Fisc Yr]","[Accounting Period].[Fisc Yr].&amp;[2012]","[Object].[Object Group]","[Object].[Object Group].&amp;[63]","[Object].[Obj Group Nm]","[Object].[Obj Group Nm].&amp;[GRANTS TO CITIES AND TOWNS]"),0)</f>
        <v>0</v>
      </c>
      <c r="W60" s="20">
        <f>IFERROR(GETPIVOTDATA("[Measures].[Jrnl Posting Am]",'[1]Historical Summary Cube'!$AA$5,"[Accounting Period].[Fisc Yr]","[Accounting Period].[Fisc Yr].&amp;[2013]","[Object].[Object Group]","[Object].[Object Group].&amp;[63]","[Object].[Obj Group Nm]","[Object].[Obj Group Nm].&amp;[GRANTS TO CITIES AND TOWNS]"),0)</f>
        <v>0</v>
      </c>
      <c r="X60" s="20">
        <f>IFERROR(GETPIVOTDATA("[Measures].[Jrnl Posting Am]",'[1]Historical Summary Cube'!$AA$5,"[Accounting Period].[Fisc Yr]","[Accounting Period].[Fisc Yr].&amp;[2014]","[Object].[Object Group]","[Object].[Object Group].&amp;[63]","[Object].[Obj Group Nm]","[Object].[Obj Group Nm].&amp;[GRANTS TO CITIES AND TOWNS]"),0)</f>
        <v>50000</v>
      </c>
      <c r="Y60" s="20">
        <f>IFERROR(GETPIVOTDATA("[Measures].[Jrnl Posting Am]",'[1]Historical Summary Cube'!$AA$5,"[Accounting Period].[Fisc Yr]","[Accounting Period].[Fisc Yr].&amp;[2015]","[Object].[Object Group]","[Object].[Object Group].&amp;[63]","[Object].[Obj Group Nm]","[Object].[Obj Group Nm].&amp;[GRANTS TO CITIES AND TOWNS]"),0)</f>
        <v>30000</v>
      </c>
      <c r="Z60" s="20">
        <f>IFERROR(GETPIVOTDATA("[Measures].[Jrnl Posting Am]",'[1]Historical Summary Cube'!$AA$5,"[Accounting Period].[Fisc Yr]","[Accounting Period].[Fisc Yr].&amp;[2016]","[Object].[Object Group]","[Object].[Object Group].&amp;[63]","[Object].[Obj Group Nm]","[Object].[Obj Group Nm].&amp;[GRANTS TO CITIES AND TOWNS]"),0)</f>
        <v>50000</v>
      </c>
      <c r="AA60" s="20">
        <f>IFERROR(GETPIVOTDATA("[Measures].[Jrnl Posting Am]",'[1]Historical Summary Cube'!$AA$5,"[Accounting Period].[Fisc Yr]","[Accounting Period].[Fisc Yr].&amp;[2017]","[Object].[Object Group]","[Object].[Object Group].&amp;[63]","[Object].[Obj Group Nm]","[Object].[Obj Group Nm].&amp;[GRANTS TO CITIES AND TOWNS]"),0)</f>
        <v>0</v>
      </c>
      <c r="AB60" s="20">
        <f>IFERROR(GETPIVOTDATA("[Measures].[Jrnl Posting Am]",'[1]Historical Summary Cube'!$AA$5,"[Accounting Period].[Fisc Yr]","[Accounting Period].[Fisc Yr].&amp;[2018]","[Object].[Object Group]","[Object].[Object Group].&amp;[63]","[Object].[Obj Group Nm]","[Object].[Obj Group Nm].&amp;[GRANTS TO CITIES AND TOWNS]"),0)</f>
        <v>0</v>
      </c>
      <c r="AC60" s="20">
        <f>IFERROR(GETPIVOTDATA("[Measures].[Jrnl Posting Am]",'[1]Historical Summary Cube'!$AA$5,"[Accounting Period].[Fisc Yr]","[Accounting Period].[Fisc Yr].&amp;[2019]","[Object].[Object Group]","[Object].[Object Group].&amp;[63]","[Object].[Obj Group Nm]","[Object].[Obj Group Nm].&amp;[GRANTS TO CITIES AND TOWNS]"),0)</f>
        <v>25000</v>
      </c>
      <c r="AD60" s="20">
        <f>IFERROR(GETPIVOTDATA("[Measures].[Jrnl Posting Am]",'[1]Historical Summary Cube'!$AA$5,"[Accounting Period].[Fisc Yr]","[Accounting Period].[Fisc Yr].&amp;[2020]","[Object].[Object Group]","[Object].[Object Group].&amp;[63]","[Object].[Obj Group Nm]","[Object].[Obj Group Nm].&amp;[GRANTS TO CITIES AND TOWNS]"),0)</f>
        <v>0</v>
      </c>
      <c r="AE60" s="20">
        <f>IFERROR(GETPIVOTDATA("[Measures].[Jrnl Posting Am]",'[1]Historical Summary Cube'!$AA$5,"[Accounting Period].[Fisc Yr]","[Accounting Period].[Fisc Yr].&amp;[2021]","[Object].[Object Group]","[Object].[Object Group].&amp;[63]","[Object].[Obj Group Nm]","[Object].[Obj Group Nm].&amp;[GRANTS TO CITIES AND TOWNS]"),0)</f>
        <v>0</v>
      </c>
      <c r="AF60" s="20">
        <f>IFERROR(GETPIVOTDATA("[Measures].[Jrnl Posting Am]",'[1]Historical Summary Cube'!$AA$5,"[Accounting Period].[Fisc Yr]","[Accounting Period].[Fisc Yr].&amp;[2022]","[Object].[Object Group]","[Object].[Object Group].&amp;[63]","[Object].[Obj Group Nm]","[Object].[Obj Group Nm].&amp;[GRANTS TO CITIES AND TOWNS]"),0)</f>
        <v>0</v>
      </c>
      <c r="AG60" s="20">
        <f>IFERROR(GETPIVOTDATA("[Measures].[Jrnl Posting Am]",'[1]Historical Summary Cube'!$AA$5,"[Accounting Period].[Fisc Yr]","[Accounting Period].[Fisc Yr].&amp;[2023]","[Object].[Object Group]","[Object].[Object Group].&amp;[63]","[Object].[Obj Group Nm]","[Object].[Obj Group Nm].&amp;[GRANTS TO CITIES AND TOWNS]"),0)</f>
        <v>0</v>
      </c>
      <c r="AH60" s="20">
        <f>IFERROR(GETPIVOTDATA("[Measures].[Jrnl Posting Am]",'[1]Historical Summary Cube'!$AA$5,"[Accounting Period].[Fisc Yr]","[Accounting Period].[Fisc Yr].&amp;[2024]","[Object].[Object Group]","[Object].[Object Group].&amp;[63]","[Object].[Obj Group Nm]","[Object].[Obj Group Nm].&amp;[GRANTS TO CITIES AND TOWNS]"),0)</f>
        <v>0</v>
      </c>
      <c r="AI60" s="11"/>
      <c r="AJ60" s="11"/>
    </row>
    <row r="61" spans="1:36" s="10" customFormat="1" ht="15.5" x14ac:dyDescent="0.35">
      <c r="A61" s="25" t="s">
        <v>87</v>
      </c>
      <c r="B61" s="30" t="s">
        <v>88</v>
      </c>
      <c r="C61" s="20">
        <v>0</v>
      </c>
      <c r="D61" s="20">
        <v>0</v>
      </c>
      <c r="E61" s="20">
        <v>0</v>
      </c>
      <c r="F61" s="20">
        <v>0</v>
      </c>
      <c r="G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Period].&amp;[5]"),0)</f>
        <v>0</v>
      </c>
      <c r="H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Period].&amp;[6]"),0)</f>
        <v>0</v>
      </c>
      <c r="I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Period].&amp;[7]"),0)</f>
        <v>0</v>
      </c>
      <c r="J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Period].&amp;[8]"),0)</f>
        <v>0</v>
      </c>
      <c r="K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Period].&amp;[9]"),0)</f>
        <v>0</v>
      </c>
      <c r="L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Period].&amp;[10]"),0)</f>
        <v>0</v>
      </c>
      <c r="M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Period].&amp;[11]"),0)</f>
        <v>0</v>
      </c>
      <c r="N61" s="20">
        <f>IFERROR(GETPIVOTDATA("[Measures].[Jrnl Posting Am]",'[1]Historical Summary Cube'!$AA$73,"[Object].[Object Group]","[Object].[Object Group].&amp;[64]","[Object].[Obj Group Nm]","[Object].[Obj Group Nm].&amp;[GRANTS TO PUB AND PRIV ORGNS]","[Accounting Period].[Fisc Period]","[Accounting Period].[Fisc Period].&amp;[12]"),0)</f>
        <v>0</v>
      </c>
      <c r="O61" s="11">
        <f t="shared" si="5"/>
        <v>0</v>
      </c>
      <c r="P61" s="12"/>
      <c r="Q61" s="12"/>
      <c r="R61" s="20">
        <f>IFERROR(GETPIVOTDATA("[Measures].[Jrnl Posting Am]",'[1]Historical Summary Cube'!$AA$5,"[Accounting Period].[Fisc Yr]","[Accounting Period].[Fisc Yr].&amp;[2008]","[Object].[Object Group]","[Object].[Object Group].&amp;[64]","[Object].[Obj Group Nm]","[Object].[Obj Group Nm].&amp;[GRANTS TO PUB AND PRIV ORGNS]"),0)</f>
        <v>73500</v>
      </c>
      <c r="S61" s="20">
        <f>IFERROR(GETPIVOTDATA("[Measures].[Jrnl Posting Am]",'[1]Historical Summary Cube'!$AA$5,"[Accounting Period].[Fisc Yr]","[Accounting Period].[Fisc Yr].&amp;[2009]","[Object].[Object Group]","[Object].[Object Group].&amp;[64]","[Object].[Obj Group Nm]","[Object].[Obj Group Nm].&amp;[GRANTS TO PUB AND PRIV ORGNS]"),0)</f>
        <v>38500</v>
      </c>
      <c r="T61" s="20">
        <f>IFERROR(GETPIVOTDATA("[Measures].[Jrnl Posting Am]",'[1]Historical Summary Cube'!$AA$5,"[Accounting Period].[Fisc Yr]","[Accounting Period].[Fisc Yr].&amp;[2010]","[Object].[Object Group]","[Object].[Object Group].&amp;[64]","[Object].[Obj Group Nm]","[Object].[Obj Group Nm].&amp;[GRANTS TO PUB AND PRIV ORGNS]"),0)</f>
        <v>53538</v>
      </c>
      <c r="U61" s="20">
        <f>IFERROR(GETPIVOTDATA("[Measures].[Jrnl Posting Am]",'[1]Historical Summary Cube'!$AA$5,"[Accounting Period].[Fisc Yr]","[Accounting Period].[Fisc Yr].&amp;[2011]","[Object].[Object Group]","[Object].[Object Group].&amp;[64]","[Object].[Obj Group Nm]","[Object].[Obj Group Nm].&amp;[GRANTS TO PUB AND PRIV ORGNS]"),0)</f>
        <v>17474</v>
      </c>
      <c r="V61" s="20">
        <f>IFERROR(GETPIVOTDATA("[Measures].[Jrnl Posting Am]",'[1]Historical Summary Cube'!$AA$5,"[Accounting Period].[Fisc Yr]","[Accounting Period].[Fisc Yr].&amp;[2012]","[Object].[Object Group]","[Object].[Object Group].&amp;[64]","[Object].[Obj Group Nm]","[Object].[Obj Group Nm].&amp;[GRANTS TO PUB AND PRIV ORGNS]"),0)</f>
        <v>104518</v>
      </c>
      <c r="W61" s="20">
        <f>IFERROR(GETPIVOTDATA("[Measures].[Jrnl Posting Am]",'[1]Historical Summary Cube'!$AA$5,"[Accounting Period].[Fisc Yr]","[Accounting Period].[Fisc Yr].&amp;[2013]","[Object].[Object Group]","[Object].[Object Group].&amp;[64]","[Object].[Obj Group Nm]","[Object].[Obj Group Nm].&amp;[GRANTS TO PUB AND PRIV ORGNS]"),0)</f>
        <v>3500</v>
      </c>
      <c r="X61" s="20">
        <f>IFERROR(GETPIVOTDATA("[Measures].[Jrnl Posting Am]",'[1]Historical Summary Cube'!$AA$5,"[Accounting Period].[Fisc Yr]","[Accounting Period].[Fisc Yr].&amp;[2014]","[Object].[Object Group]","[Object].[Object Group].&amp;[64]","[Object].[Obj Group Nm]","[Object].[Obj Group Nm].&amp;[GRANTS TO PUB AND PRIV ORGNS]"),0)</f>
        <v>130000</v>
      </c>
      <c r="Y61" s="20">
        <f>IFERROR(GETPIVOTDATA("[Measures].[Jrnl Posting Am]",'[1]Historical Summary Cube'!$AA$5,"[Accounting Period].[Fisc Yr]","[Accounting Period].[Fisc Yr].&amp;[2015]","[Object].[Object Group]","[Object].[Object Group].&amp;[64]","[Object].[Obj Group Nm]","[Object].[Obj Group Nm].&amp;[GRANTS TO PUB AND PRIV ORGNS]"),0)</f>
        <v>7000</v>
      </c>
      <c r="Z61" s="20">
        <f>IFERROR(GETPIVOTDATA("[Measures].[Jrnl Posting Am]",'[1]Historical Summary Cube'!$AA$5,"[Accounting Period].[Fisc Yr]","[Accounting Period].[Fisc Yr].&amp;[2016]","[Object].[Object Group]","[Object].[Object Group].&amp;[64]","[Object].[Obj Group Nm]","[Object].[Obj Group Nm].&amp;[GRANTS TO PUB AND PRIV ORGNS]"),0)</f>
        <v>133675</v>
      </c>
      <c r="AA61" s="20">
        <f>IFERROR(GETPIVOTDATA("[Measures].[Jrnl Posting Am]",'[1]Historical Summary Cube'!$AA$5,"[Accounting Period].[Fisc Yr]","[Accounting Period].[Fisc Yr].&amp;[2017]","[Object].[Object Group]","[Object].[Object Group].&amp;[64]","[Object].[Obj Group Nm]","[Object].[Obj Group Nm].&amp;[GRANTS TO PUB AND PRIV ORGNS]"),0)</f>
        <v>0</v>
      </c>
      <c r="AB61" s="20">
        <f>IFERROR(GETPIVOTDATA("[Measures].[Jrnl Posting Am]",'[1]Historical Summary Cube'!$AA$5,"[Accounting Period].[Fisc Yr]","[Accounting Period].[Fisc Yr].&amp;[2018]","[Object].[Object Group]","[Object].[Object Group].&amp;[64]","[Object].[Obj Group Nm]","[Object].[Obj Group Nm].&amp;[GRANTS TO PUB AND PRIV ORGNS]"),0)</f>
        <v>11720</v>
      </c>
      <c r="AC61" s="20">
        <f>IFERROR(GETPIVOTDATA("[Measures].[Jrnl Posting Am]",'[1]Historical Summary Cube'!$AA$5,"[Accounting Period].[Fisc Yr]","[Accounting Period].[Fisc Yr].&amp;[2019]","[Object].[Object Group]","[Object].[Object Group].&amp;[64]","[Object].[Obj Group Nm]","[Object].[Obj Group Nm].&amp;[GRANTS TO PUB AND PRIV ORGNS]"),0)</f>
        <v>41745.49</v>
      </c>
      <c r="AD61" s="20">
        <f>IFERROR(GETPIVOTDATA("[Measures].[Jrnl Posting Am]",'[1]Historical Summary Cube'!$AA$5,"[Accounting Period].[Fisc Yr]","[Accounting Period].[Fisc Yr].&amp;[2020]","[Object].[Object Group]","[Object].[Object Group].&amp;[64]","[Object].[Obj Group Nm]","[Object].[Obj Group Nm].&amp;[GRANTS TO PUB AND PRIV ORGNS]"),0)</f>
        <v>63647.21</v>
      </c>
      <c r="AE61" s="20">
        <f>IFERROR(GETPIVOTDATA("[Measures].[Jrnl Posting Am]",'[1]Historical Summary Cube'!$AA$5,"[Accounting Period].[Fisc Yr]","[Accounting Period].[Fisc Yr].&amp;[2021]","[Object].[Object Group]","[Object].[Object Group].&amp;[64]","[Object].[Obj Group Nm]","[Object].[Obj Group Nm].&amp;[GRANTS TO PUB AND PRIV ORGNS]"),0)</f>
        <v>12072.79</v>
      </c>
      <c r="AF61" s="20">
        <f>IFERROR(GETPIVOTDATA("[Measures].[Jrnl Posting Am]",'[1]Historical Summary Cube'!$AA$5,"[Accounting Period].[Fisc Yr]","[Accounting Period].[Fisc Yr].&amp;[2022]","[Object].[Object Group]","[Object].[Object Group].&amp;[64]","[Object].[Obj Group Nm]","[Object].[Obj Group Nm].&amp;[GRANTS TO PUB AND PRIV ORGNS]"),0)</f>
        <v>6432</v>
      </c>
      <c r="AG61" s="20">
        <f>IFERROR(GETPIVOTDATA("[Measures].[Jrnl Posting Am]",'[1]Historical Summary Cube'!$AA$5,"[Accounting Period].[Fisc Yr]","[Accounting Period].[Fisc Yr].&amp;[2023]","[Object].[Object Group]","[Object].[Object Group].&amp;[64]","[Object].[Obj Group Nm]","[Object].[Obj Group Nm].&amp;[GRANTS TO PUB AND PRIV ORGNS]"),0)</f>
        <v>6432</v>
      </c>
      <c r="AH61" s="20">
        <f>IFERROR(GETPIVOTDATA("[Measures].[Jrnl Posting Am]",'[1]Historical Summary Cube'!$AA$5,"[Accounting Period].[Fisc Yr]","[Accounting Period].[Fisc Yr].&amp;[2024]","[Object].[Object Group]","[Object].[Object Group].&amp;[64]","[Object].[Obj Group Nm]","[Object].[Obj Group Nm].&amp;[GRANTS TO PUB AND PRIV ORGNS]"),0)</f>
        <v>0</v>
      </c>
      <c r="AI61" s="11"/>
      <c r="AJ61" s="11"/>
    </row>
    <row r="62" spans="1:36" s="10" customFormat="1" ht="15.5" x14ac:dyDescent="0.35">
      <c r="A62" s="25" t="s">
        <v>89</v>
      </c>
      <c r="B62" s="30" t="s">
        <v>90</v>
      </c>
      <c r="C62" s="20">
        <v>0</v>
      </c>
      <c r="D62" s="20">
        <v>0</v>
      </c>
      <c r="E62" s="20">
        <v>0</v>
      </c>
      <c r="F62" s="20">
        <v>0</v>
      </c>
      <c r="G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Period].&amp;[5]"),0)</f>
        <v>0</v>
      </c>
      <c r="H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Period].&amp;[6]"),0)</f>
        <v>0</v>
      </c>
      <c r="I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Period].&amp;[7]"),0)</f>
        <v>0</v>
      </c>
      <c r="J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Period].&amp;[8]"),0)</f>
        <v>0</v>
      </c>
      <c r="K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Period].&amp;[9]"),0)</f>
        <v>0</v>
      </c>
      <c r="L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Period].&amp;[10]"),0)</f>
        <v>0</v>
      </c>
      <c r="M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Period].&amp;[11]"),0)</f>
        <v>0</v>
      </c>
      <c r="N62" s="20">
        <f>IFERROR(GETPIVOTDATA("[Measures].[Jrnl Posting Am]",'[1]Historical Summary Cube'!$AA$73,"[Object].[Object Group]","[Object].[Object Group].&amp;[67]","[Object].[Obj Group Nm]","[Object].[Obj Group Nm].&amp;[ASSISTANCE AND RELIEF GRANT]","[Accounting Period].[Fisc Period]","[Accounting Period].[Fisc Period].&amp;[12]"),0)</f>
        <v>0</v>
      </c>
      <c r="O62" s="11">
        <f t="shared" si="5"/>
        <v>0</v>
      </c>
      <c r="P62" s="12"/>
      <c r="Q62" s="12"/>
      <c r="R62" s="20">
        <f>IFERROR(GETPIVOTDATA("[Measures].[Jrnl Posting Am]",'[1]Historical Summary Cube'!$AA$5,"[Accounting Period].[Fisc Yr]","[Accounting Period].[Fisc Yr].&amp;[2008]","[Object].[Object Group]","[Object].[Object Group].&amp;[67]","[Object].[Obj Group Nm]","[Object].[Obj Group Nm].&amp;[ASSISTANCE AND RELIEF GRANT]"),0)</f>
        <v>0</v>
      </c>
      <c r="S62" s="20">
        <f>IFERROR(GETPIVOTDATA("[Measures].[Jrnl Posting Am]",'[1]Historical Summary Cube'!$AA$5,"[Accounting Period].[Fisc Yr]","[Accounting Period].[Fisc Yr].&amp;[2009]","[Object].[Object Group]","[Object].[Object Group].&amp;[67]","[Object].[Obj Group Nm]","[Object].[Obj Group Nm].&amp;[ASSISTANCE AND RELIEF GRANT]"),0)</f>
        <v>0</v>
      </c>
      <c r="T62" s="20">
        <f>IFERROR(GETPIVOTDATA("[Measures].[Jrnl Posting Am]",'[1]Historical Summary Cube'!$AA$5,"[Accounting Period].[Fisc Yr]","[Accounting Period].[Fisc Yr].&amp;[2010]","[Object].[Object Group]","[Object].[Object Group].&amp;[67]","[Object].[Obj Group Nm]","[Object].[Obj Group Nm].&amp;[ASSISTANCE AND RELIEF GRANT]"),0)</f>
        <v>0</v>
      </c>
      <c r="U62" s="20">
        <f>IFERROR(GETPIVOTDATA("[Measures].[Jrnl Posting Am]",'[1]Historical Summary Cube'!$AA$5,"[Accounting Period].[Fisc Yr]","[Accounting Period].[Fisc Yr].&amp;[2011]","[Object].[Object Group]","[Object].[Object Group].&amp;[67]","[Object].[Obj Group Nm]","[Object].[Obj Group Nm].&amp;[ASSISTANCE AND RELIEF GRANT]"),0)</f>
        <v>0</v>
      </c>
      <c r="V62" s="20">
        <f>IFERROR(GETPIVOTDATA("[Measures].[Jrnl Posting Am]",'[1]Historical Summary Cube'!$AA$5,"[Accounting Period].[Fisc Yr]","[Accounting Period].[Fisc Yr].&amp;[2012]","[Object].[Object Group]","[Object].[Object Group].&amp;[67]","[Object].[Obj Group Nm]","[Object].[Obj Group Nm].&amp;[ASSISTANCE AND RELIEF GRANT]"),0)</f>
        <v>0</v>
      </c>
      <c r="W62" s="20">
        <f>IFERROR(GETPIVOTDATA("[Measures].[Jrnl Posting Am]",'[1]Historical Summary Cube'!$AA$5,"[Accounting Period].[Fisc Yr]","[Accounting Period].[Fisc Yr].&amp;[2013]","[Object].[Object Group]","[Object].[Object Group].&amp;[67]","[Object].[Obj Group Nm]","[Object].[Obj Group Nm].&amp;[ASSISTANCE AND RELIEF GRANT]"),0)</f>
        <v>0</v>
      </c>
      <c r="X62" s="20">
        <f>IFERROR(GETPIVOTDATA("[Measures].[Jrnl Posting Am]",'[1]Historical Summary Cube'!$AA$5,"[Accounting Period].[Fisc Yr]","[Accounting Period].[Fisc Yr].&amp;[2014]","[Object].[Object Group]","[Object].[Object Group].&amp;[67]","[Object].[Obj Group Nm]","[Object].[Obj Group Nm].&amp;[ASSISTANCE AND RELIEF GRANT]"),0)</f>
        <v>0</v>
      </c>
      <c r="Y62" s="20">
        <f>IFERROR(GETPIVOTDATA("[Measures].[Jrnl Posting Am]",'[1]Historical Summary Cube'!$AA$5,"[Accounting Period].[Fisc Yr]","[Accounting Period].[Fisc Yr].&amp;[2015]","[Object].[Object Group]","[Object].[Object Group].&amp;[67]","[Object].[Obj Group Nm]","[Object].[Obj Group Nm].&amp;[ASSISTANCE AND RELIEF GRANT]"),0)</f>
        <v>0</v>
      </c>
      <c r="Z62" s="20">
        <f>IFERROR(GETPIVOTDATA("[Measures].[Jrnl Posting Am]",'[1]Historical Summary Cube'!$AA$5,"[Accounting Period].[Fisc Yr]","[Accounting Period].[Fisc Yr].&amp;[2016]","[Object].[Object Group]","[Object].[Object Group].&amp;[67]","[Object].[Obj Group Nm]","[Object].[Obj Group Nm].&amp;[ASSISTANCE AND RELIEF GRANT]"),0)</f>
        <v>0</v>
      </c>
      <c r="AA62" s="20">
        <f>IFERROR(GETPIVOTDATA("[Measures].[Jrnl Posting Am]",'[1]Historical Summary Cube'!$AA$5,"[Accounting Period].[Fisc Yr]","[Accounting Period].[Fisc Yr].&amp;[2017]","[Object].[Object Group]","[Object].[Object Group].&amp;[67]","[Object].[Obj Group Nm]","[Object].[Obj Group Nm].&amp;[ASSISTANCE AND RELIEF GRANT]"),0)</f>
        <v>0</v>
      </c>
      <c r="AB62" s="20">
        <f>IFERROR(GETPIVOTDATA("[Measures].[Jrnl Posting Am]",'[1]Historical Summary Cube'!$AA$5,"[Accounting Period].[Fisc Yr]","[Accounting Period].[Fisc Yr].&amp;[2018]","[Object].[Object Group]","[Object].[Object Group].&amp;[67]","[Object].[Obj Group Nm]","[Object].[Obj Group Nm].&amp;[ASSISTANCE AND RELIEF GRANT]"),0)</f>
        <v>0</v>
      </c>
      <c r="AC62" s="20">
        <f>IFERROR(GETPIVOTDATA("[Measures].[Jrnl Posting Am]",'[1]Historical Summary Cube'!$AA$5,"[Accounting Period].[Fisc Yr]","[Accounting Period].[Fisc Yr].&amp;[2019]","[Object].[Object Group]","[Object].[Object Group].&amp;[67]","[Object].[Obj Group Nm]","[Object].[Obj Group Nm].&amp;[ASSISTANCE AND RELIEF GRANT]"),0)</f>
        <v>0</v>
      </c>
      <c r="AD62" s="20">
        <f>IFERROR(GETPIVOTDATA("[Measures].[Jrnl Posting Am]",'[1]Historical Summary Cube'!$AA$5,"[Accounting Period].[Fisc Yr]","[Accounting Period].[Fisc Yr].&amp;[2020]","[Object].[Object Group]","[Object].[Object Group].&amp;[67]","[Object].[Obj Group Nm]","[Object].[Obj Group Nm].&amp;[ASSISTANCE AND RELIEF GRANT]"),0)</f>
        <v>0</v>
      </c>
      <c r="AE62" s="20">
        <f>IFERROR(GETPIVOTDATA("[Measures].[Jrnl Posting Am]",'[1]Historical Summary Cube'!$AA$5,"[Accounting Period].[Fisc Yr]","[Accounting Period].[Fisc Yr].&amp;[2021]","[Object].[Object Group]","[Object].[Object Group].&amp;[67]","[Object].[Obj Group Nm]","[Object].[Obj Group Nm].&amp;[ASSISTANCE AND RELIEF GRANT]"),0)</f>
        <v>0</v>
      </c>
      <c r="AF62" s="20">
        <f>IFERROR(GETPIVOTDATA("[Measures].[Jrnl Posting Am]",'[1]Historical Summary Cube'!$AA$5,"[Accounting Period].[Fisc Yr]","[Accounting Period].[Fisc Yr].&amp;[2022]","[Object].[Object Group]","[Object].[Object Group].&amp;[67]","[Object].[Obj Group Nm]","[Object].[Obj Group Nm].&amp;[ASSISTANCE AND RELIEF GRANT]"),0)</f>
        <v>0</v>
      </c>
      <c r="AG62" s="20">
        <f>IFERROR(GETPIVOTDATA("[Measures].[Jrnl Posting Am]",'[1]Historical Summary Cube'!$AA$5,"[Accounting Period].[Fisc Yr]","[Accounting Period].[Fisc Yr].&amp;[2023]","[Object].[Object Group]","[Object].[Object Group].&amp;[67]","[Object].[Obj Group Nm]","[Object].[Obj Group Nm].&amp;[ASSISTANCE AND RELIEF GRANT]"),0)</f>
        <v>0</v>
      </c>
      <c r="AH62" s="20">
        <f>IFERROR(GETPIVOTDATA("[Measures].[Jrnl Posting Am]",'[1]Historical Summary Cube'!$AA$5,"[Accounting Period].[Fisc Yr]","[Accounting Period].[Fisc Yr].&amp;[2024]","[Object].[Object Group]","[Object].[Object Group].&amp;[67]","[Object].[Obj Group Nm]","[Object].[Obj Group Nm].&amp;[ASSISTANCE AND RELIEF GRANT]"),0)</f>
        <v>0</v>
      </c>
      <c r="AI62" s="11"/>
      <c r="AJ62" s="11"/>
    </row>
    <row r="63" spans="1:36" s="10" customFormat="1" ht="15.5" x14ac:dyDescent="0.35">
      <c r="A63" s="25" t="s">
        <v>91</v>
      </c>
      <c r="B63" s="30" t="s">
        <v>92</v>
      </c>
      <c r="C63" s="20">
        <v>0</v>
      </c>
      <c r="D63" s="20">
        <v>0</v>
      </c>
      <c r="E63" s="20">
        <v>0</v>
      </c>
      <c r="F63" s="20">
        <v>0</v>
      </c>
      <c r="G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Period].&amp;[5]"),0)</f>
        <v>0</v>
      </c>
      <c r="H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Period].&amp;[6]"),0)</f>
        <v>0</v>
      </c>
      <c r="I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Period].&amp;[7]"),0)</f>
        <v>0</v>
      </c>
      <c r="J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Period].&amp;[8]"),0)</f>
        <v>0</v>
      </c>
      <c r="K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Period].&amp;[9]"),0)</f>
        <v>0</v>
      </c>
      <c r="L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Period].&amp;[10]"),0)</f>
        <v>0</v>
      </c>
      <c r="M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Period].&amp;[11]"),0)</f>
        <v>0</v>
      </c>
      <c r="N63" s="20">
        <f>IFERROR(GETPIVOTDATA("[Measures].[Jrnl Posting Am]",'[1]Historical Summary Cube'!$AA$73,"[Object].[Object Group]","[Object].[Object Group].&amp;[72]","[Object].[Obj Group Nm]","[Object].[Obj Group Nm].&amp;[EQUIPMENT]","[Accounting Period].[Fisc Period]","[Accounting Period].[Fisc Period].&amp;[12]"),0)</f>
        <v>0</v>
      </c>
      <c r="O63" s="11">
        <f t="shared" si="5"/>
        <v>0</v>
      </c>
      <c r="P63" s="12"/>
      <c r="Q63" s="12"/>
      <c r="R63" s="20">
        <f>IFERROR(GETPIVOTDATA("[Measures].[Jrnl Posting Am]",'[1]Historical Summary Cube'!$AA$5,"[Accounting Period].[Fisc Yr]","[Accounting Period].[Fisc Yr].&amp;[2008]","[Object].[Object Group]","[Object].[Object Group].&amp;[72]","[Object].[Obj Group Nm]","[Object].[Obj Group Nm].&amp;[EQUIPMENT]"),0)</f>
        <v>0</v>
      </c>
      <c r="S63" s="20">
        <f>IFERROR(GETPIVOTDATA("[Measures].[Jrnl Posting Am]",'[1]Historical Summary Cube'!$AA$5,"[Accounting Period].[Fisc Yr]","[Accounting Period].[Fisc Yr].&amp;[2009]","[Object].[Object Group]","[Object].[Object Group].&amp;[72]","[Object].[Obj Group Nm]","[Object].[Obj Group Nm].&amp;[EQUIPMENT]"),0)</f>
        <v>0</v>
      </c>
      <c r="T63" s="20">
        <f>IFERROR(GETPIVOTDATA("[Measures].[Jrnl Posting Am]",'[1]Historical Summary Cube'!$AA$5,"[Accounting Period].[Fisc Yr]","[Accounting Period].[Fisc Yr].&amp;[2010]","[Object].[Object Group]","[Object].[Object Group].&amp;[72]","[Object].[Obj Group Nm]","[Object].[Obj Group Nm].&amp;[EQUIPMENT]"),0)</f>
        <v>0</v>
      </c>
      <c r="U63" s="20">
        <f>IFERROR(GETPIVOTDATA("[Measures].[Jrnl Posting Am]",'[1]Historical Summary Cube'!$AA$5,"[Accounting Period].[Fisc Yr]","[Accounting Period].[Fisc Yr].&amp;[2011]","[Object].[Object Group]","[Object].[Object Group].&amp;[72]","[Object].[Obj Group Nm]","[Object].[Obj Group Nm].&amp;[EQUIPMENT]"),0)</f>
        <v>0</v>
      </c>
      <c r="V63" s="20">
        <f>IFERROR(GETPIVOTDATA("[Measures].[Jrnl Posting Am]",'[1]Historical Summary Cube'!$AA$5,"[Accounting Period].[Fisc Yr]","[Accounting Period].[Fisc Yr].&amp;[2012]","[Object].[Object Group]","[Object].[Object Group].&amp;[72]","[Object].[Obj Group Nm]","[Object].[Obj Group Nm].&amp;[EQUIPMENT]"),0)</f>
        <v>0</v>
      </c>
      <c r="W63" s="20">
        <f>IFERROR(GETPIVOTDATA("[Measures].[Jrnl Posting Am]",'[1]Historical Summary Cube'!$AA$5,"[Accounting Period].[Fisc Yr]","[Accounting Period].[Fisc Yr].&amp;[2013]","[Object].[Object Group]","[Object].[Object Group].&amp;[72]","[Object].[Obj Group Nm]","[Object].[Obj Group Nm].&amp;[EQUIPMENT]"),0)</f>
        <v>0</v>
      </c>
      <c r="X63" s="20">
        <f>IFERROR(GETPIVOTDATA("[Measures].[Jrnl Posting Am]",'[1]Historical Summary Cube'!$AA$5,"[Accounting Period].[Fisc Yr]","[Accounting Period].[Fisc Yr].&amp;[2014]","[Object].[Object Group]","[Object].[Object Group].&amp;[72]","[Object].[Obj Group Nm]","[Object].[Obj Group Nm].&amp;[EQUIPMENT]"),0)</f>
        <v>0</v>
      </c>
      <c r="Y63" s="20">
        <f>IFERROR(GETPIVOTDATA("[Measures].[Jrnl Posting Am]",'[1]Historical Summary Cube'!$AA$5,"[Accounting Period].[Fisc Yr]","[Accounting Period].[Fisc Yr].&amp;[2015]","[Object].[Object Group]","[Object].[Object Group].&amp;[72]","[Object].[Obj Group Nm]","[Object].[Obj Group Nm].&amp;[EQUIPMENT]"),0)</f>
        <v>0</v>
      </c>
      <c r="Z63" s="20">
        <f>IFERROR(GETPIVOTDATA("[Measures].[Jrnl Posting Am]",'[1]Historical Summary Cube'!$AA$5,"[Accounting Period].[Fisc Yr]","[Accounting Period].[Fisc Yr].&amp;[2016]","[Object].[Object Group]","[Object].[Object Group].&amp;[72]","[Object].[Obj Group Nm]","[Object].[Obj Group Nm].&amp;[EQUIPMENT]"),0)</f>
        <v>0</v>
      </c>
      <c r="AA63" s="20">
        <f>IFERROR(GETPIVOTDATA("[Measures].[Jrnl Posting Am]",'[1]Historical Summary Cube'!$AA$5,"[Accounting Period].[Fisc Yr]","[Accounting Period].[Fisc Yr].&amp;[2017]","[Object].[Object Group]","[Object].[Object Group].&amp;[72]","[Object].[Obj Group Nm]","[Object].[Obj Group Nm].&amp;[EQUIPMENT]"),0)</f>
        <v>0</v>
      </c>
      <c r="AB63" s="20">
        <f>IFERROR(GETPIVOTDATA("[Measures].[Jrnl Posting Am]",'[1]Historical Summary Cube'!$AA$5,"[Accounting Period].[Fisc Yr]","[Accounting Period].[Fisc Yr].&amp;[2018]","[Object].[Object Group]","[Object].[Object Group].&amp;[72]","[Object].[Obj Group Nm]","[Object].[Obj Group Nm].&amp;[EQUIPMENT]"),0)</f>
        <v>0</v>
      </c>
      <c r="AC63" s="20">
        <f>IFERROR(GETPIVOTDATA("[Measures].[Jrnl Posting Am]",'[1]Historical Summary Cube'!$AA$5,"[Accounting Period].[Fisc Yr]","[Accounting Period].[Fisc Yr].&amp;[2019]","[Object].[Object Group]","[Object].[Object Group].&amp;[72]","[Object].[Obj Group Nm]","[Object].[Obj Group Nm].&amp;[EQUIPMENT]"),0)</f>
        <v>0</v>
      </c>
      <c r="AD63" s="20">
        <f>IFERROR(GETPIVOTDATA("[Measures].[Jrnl Posting Am]",'[1]Historical Summary Cube'!$AA$5,"[Accounting Period].[Fisc Yr]","[Accounting Period].[Fisc Yr].&amp;[2020]","[Object].[Object Group]","[Object].[Object Group].&amp;[72]","[Object].[Obj Group Nm]","[Object].[Obj Group Nm].&amp;[EQUIPMENT]"),0)</f>
        <v>0</v>
      </c>
      <c r="AE63" s="20">
        <f>IFERROR(GETPIVOTDATA("[Measures].[Jrnl Posting Am]",'[1]Historical Summary Cube'!$AA$5,"[Accounting Period].[Fisc Yr]","[Accounting Period].[Fisc Yr].&amp;[2021]","[Object].[Object Group]","[Object].[Object Group].&amp;[72]","[Object].[Obj Group Nm]","[Object].[Obj Group Nm].&amp;[EQUIPMENT]"),0)</f>
        <v>0</v>
      </c>
      <c r="AF63" s="20">
        <f>IFERROR(GETPIVOTDATA("[Measures].[Jrnl Posting Am]",'[1]Historical Summary Cube'!$AA$5,"[Accounting Period].[Fisc Yr]","[Accounting Period].[Fisc Yr].&amp;[2022]","[Object].[Object Group]","[Object].[Object Group].&amp;[72]","[Object].[Obj Group Nm]","[Object].[Obj Group Nm].&amp;[EQUIPMENT]"),0)</f>
        <v>0</v>
      </c>
      <c r="AG63" s="20">
        <f>IFERROR(GETPIVOTDATA("[Measures].[Jrnl Posting Am]",'[1]Historical Summary Cube'!$AA$5,"[Accounting Period].[Fisc Yr]","[Accounting Period].[Fisc Yr].&amp;[2023]","[Object].[Object Group]","[Object].[Object Group].&amp;[72]","[Object].[Obj Group Nm]","[Object].[Obj Group Nm].&amp;[EQUIPMENT]"),0)</f>
        <v>0</v>
      </c>
      <c r="AH63" s="20">
        <f>IFERROR(GETPIVOTDATA("[Measures].[Jrnl Posting Am]",'[1]Historical Summary Cube'!$AA$5,"[Accounting Period].[Fisc Yr]","[Accounting Period].[Fisc Yr].&amp;[2024]","[Object].[Object Group]","[Object].[Object Group].&amp;[72]","[Object].[Obj Group Nm]","[Object].[Obj Group Nm].&amp;[EQUIPMENT]"),0)</f>
        <v>0</v>
      </c>
      <c r="AI63" s="11"/>
      <c r="AJ63" s="11"/>
    </row>
    <row r="64" spans="1:36" s="10" customFormat="1" ht="15.5" x14ac:dyDescent="0.35">
      <c r="A64" s="25" t="s">
        <v>93</v>
      </c>
      <c r="B64" s="30" t="s">
        <v>94</v>
      </c>
      <c r="C64" s="20">
        <v>0</v>
      </c>
      <c r="D64" s="20">
        <v>0</v>
      </c>
      <c r="E64" s="20">
        <v>0</v>
      </c>
      <c r="F64" s="20">
        <v>-20</v>
      </c>
      <c r="G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Period].&amp;[5]"),0)</f>
        <v>0</v>
      </c>
      <c r="H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Period].&amp;[6]"),0)</f>
        <v>0</v>
      </c>
      <c r="I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Period].&amp;[7]"),0)</f>
        <v>0</v>
      </c>
      <c r="J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Period].&amp;[8]"),0)</f>
        <v>0</v>
      </c>
      <c r="K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Period].&amp;[9]"),0)</f>
        <v>0</v>
      </c>
      <c r="L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Period].&amp;[10]"),0)</f>
        <v>0</v>
      </c>
      <c r="M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Period].&amp;[11]"),0)</f>
        <v>0</v>
      </c>
      <c r="N64" s="20">
        <f>IFERROR(GETPIVOTDATA("[Measures].[Jrnl Posting Am]",'[1]Historical Summary Cube'!$AA$73,"[Object].[Object Group]","[Object].[Object Group].&amp;[82]","[Object].[Obj Group Nm]","[Object].[Obj Group Nm].&amp;[ADMINISTRATIVE CHARGES AND FEE]","[Accounting Period].[Fisc Period]","[Accounting Period].[Fisc Period].&amp;[12]"),0)</f>
        <v>0</v>
      </c>
      <c r="O64" s="11">
        <f t="shared" si="5"/>
        <v>-20</v>
      </c>
      <c r="P64" s="12"/>
      <c r="Q64" s="12"/>
      <c r="R64" s="20">
        <f>IFERROR(GETPIVOTDATA("[Measures].[Jrnl Posting Am]",'[1]Historical Summary Cube'!$AA$5,"[Accounting Period].[Fisc Yr]","[Accounting Period].[Fisc Yr].&amp;[2008]","[Object].[Object Group]","[Object].[Object Group].&amp;[82]","[Object].[Obj Group Nm]","[Object].[Obj Group Nm].&amp;[ADMINISTRATIVE CHARGES AND FEE]"),0)</f>
        <v>0</v>
      </c>
      <c r="S64" s="20">
        <f>IFERROR(GETPIVOTDATA("[Measures].[Jrnl Posting Am]",'[1]Historical Summary Cube'!$AA$5,"[Accounting Period].[Fisc Yr]","[Accounting Period].[Fisc Yr].&amp;[2009]","[Object].[Object Group]","[Object].[Object Group].&amp;[82]","[Object].[Obj Group Nm]","[Object].[Obj Group Nm].&amp;[ADMINISTRATIVE CHARGES AND FEE]"),0)</f>
        <v>0</v>
      </c>
      <c r="T64" s="20">
        <f>IFERROR(GETPIVOTDATA("[Measures].[Jrnl Posting Am]",'[1]Historical Summary Cube'!$AA$5,"[Accounting Period].[Fisc Yr]","[Accounting Period].[Fisc Yr].&amp;[2010]","[Object].[Object Group]","[Object].[Object Group].&amp;[82]","[Object].[Obj Group Nm]","[Object].[Obj Group Nm].&amp;[ADMINISTRATIVE CHARGES AND FEE]"),0)</f>
        <v>0</v>
      </c>
      <c r="U64" s="20">
        <f>IFERROR(GETPIVOTDATA("[Measures].[Jrnl Posting Am]",'[1]Historical Summary Cube'!$AA$5,"[Accounting Period].[Fisc Yr]","[Accounting Period].[Fisc Yr].&amp;[2011]","[Object].[Object Group]","[Object].[Object Group].&amp;[82]","[Object].[Obj Group Nm]","[Object].[Obj Group Nm].&amp;[ADMINISTRATIVE CHARGES AND FEE]"),0)</f>
        <v>40</v>
      </c>
      <c r="V64" s="20">
        <f>IFERROR(GETPIVOTDATA("[Measures].[Jrnl Posting Am]",'[1]Historical Summary Cube'!$AA$5,"[Accounting Period].[Fisc Yr]","[Accounting Period].[Fisc Yr].&amp;[2012]","[Object].[Object Group]","[Object].[Object Group].&amp;[82]","[Object].[Obj Group Nm]","[Object].[Obj Group Nm].&amp;[ADMINISTRATIVE CHARGES AND FEE]"),0)</f>
        <v>0</v>
      </c>
      <c r="W64" s="20">
        <f>IFERROR(GETPIVOTDATA("[Measures].[Jrnl Posting Am]",'[1]Historical Summary Cube'!$AA$5,"[Accounting Period].[Fisc Yr]","[Accounting Period].[Fisc Yr].&amp;[2013]","[Object].[Object Group]","[Object].[Object Group].&amp;[82]","[Object].[Obj Group Nm]","[Object].[Obj Group Nm].&amp;[ADMINISTRATIVE CHARGES AND FEE]"),0)</f>
        <v>0</v>
      </c>
      <c r="X64" s="20">
        <f>IFERROR(GETPIVOTDATA("[Measures].[Jrnl Posting Am]",'[1]Historical Summary Cube'!$AA$5,"[Accounting Period].[Fisc Yr]","[Accounting Period].[Fisc Yr].&amp;[2014]","[Object].[Object Group]","[Object].[Object Group].&amp;[82]","[Object].[Obj Group Nm]","[Object].[Obj Group Nm].&amp;[ADMINISTRATIVE CHARGES AND FEE]"),0)</f>
        <v>20</v>
      </c>
      <c r="Y64" s="20">
        <f>IFERROR(GETPIVOTDATA("[Measures].[Jrnl Posting Am]",'[1]Historical Summary Cube'!$AA$5,"[Accounting Period].[Fisc Yr]","[Accounting Period].[Fisc Yr].&amp;[2015]","[Object].[Object Group]","[Object].[Object Group].&amp;[82]","[Object].[Obj Group Nm]","[Object].[Obj Group Nm].&amp;[ADMINISTRATIVE CHARGES AND FEE]"),0)</f>
        <v>20</v>
      </c>
      <c r="Z64" s="20">
        <f>IFERROR(GETPIVOTDATA("[Measures].[Jrnl Posting Am]",'[1]Historical Summary Cube'!$AA$5,"[Accounting Period].[Fisc Yr]","[Accounting Period].[Fisc Yr].&amp;[2016]","[Object].[Object Group]","[Object].[Object Group].&amp;[82]","[Object].[Obj Group Nm]","[Object].[Obj Group Nm].&amp;[ADMINISTRATIVE CHARGES AND FEE]"),0)</f>
        <v>0</v>
      </c>
      <c r="AA64" s="20">
        <f>IFERROR(GETPIVOTDATA("[Measures].[Jrnl Posting Am]",'[1]Historical Summary Cube'!$AA$5,"[Accounting Period].[Fisc Yr]","[Accounting Period].[Fisc Yr].&amp;[2017]","[Object].[Object Group]","[Object].[Object Group].&amp;[82]","[Object].[Obj Group Nm]","[Object].[Obj Group Nm].&amp;[ADMINISTRATIVE CHARGES AND FEE]"),0)</f>
        <v>0</v>
      </c>
      <c r="AB64" s="20">
        <f>IFERROR(GETPIVOTDATA("[Measures].[Jrnl Posting Am]",'[1]Historical Summary Cube'!$AA$5,"[Accounting Period].[Fisc Yr]","[Accounting Period].[Fisc Yr].&amp;[2018]","[Object].[Object Group]","[Object].[Object Group].&amp;[82]","[Object].[Obj Group Nm]","[Object].[Obj Group Nm].&amp;[ADMINISTRATIVE CHARGES AND FEE]"),0)</f>
        <v>20</v>
      </c>
      <c r="AC64" s="20">
        <f>IFERROR(GETPIVOTDATA("[Measures].[Jrnl Posting Am]",'[1]Historical Summary Cube'!$AA$5,"[Accounting Period].[Fisc Yr]","[Accounting Period].[Fisc Yr].&amp;[2019]","[Object].[Object Group]","[Object].[Object Group].&amp;[82]","[Object].[Obj Group Nm]","[Object].[Obj Group Nm].&amp;[ADMINISTRATIVE CHARGES AND FEE]"),0)</f>
        <v>0</v>
      </c>
      <c r="AD64" s="20">
        <f>IFERROR(GETPIVOTDATA("[Measures].[Jrnl Posting Am]",'[1]Historical Summary Cube'!$AA$5,"[Accounting Period].[Fisc Yr]","[Accounting Period].[Fisc Yr].&amp;[2020]","[Object].[Object Group]","[Object].[Object Group].&amp;[82]","[Object].[Obj Group Nm]","[Object].[Obj Group Nm].&amp;[ADMINISTRATIVE CHARGES AND FEE]"),0)</f>
        <v>0</v>
      </c>
      <c r="AE64" s="20">
        <f>IFERROR(GETPIVOTDATA("[Measures].[Jrnl Posting Am]",'[1]Historical Summary Cube'!$AA$5,"[Accounting Period].[Fisc Yr]","[Accounting Period].[Fisc Yr].&amp;[2021]","[Object].[Object Group]","[Object].[Object Group].&amp;[82]","[Object].[Obj Group Nm]","[Object].[Obj Group Nm].&amp;[ADMINISTRATIVE CHARGES AND FEE]"),0)</f>
        <v>20</v>
      </c>
      <c r="AF64" s="20">
        <f>IFERROR(GETPIVOTDATA("[Measures].[Jrnl Posting Am]",'[1]Historical Summary Cube'!$AA$5,"[Accounting Period].[Fisc Yr]","[Accounting Period].[Fisc Yr].&amp;[2022]","[Object].[Object Group]","[Object].[Object Group].&amp;[82]","[Object].[Obj Group Nm]","[Object].[Obj Group Nm].&amp;[ADMINISTRATIVE CHARGES AND FEE]"),0)</f>
        <v>20</v>
      </c>
      <c r="AG64" s="20">
        <f>IFERROR(GETPIVOTDATA("[Measures].[Jrnl Posting Am]",'[1]Historical Summary Cube'!$AA$5,"[Accounting Period].[Fisc Yr]","[Accounting Period].[Fisc Yr].&amp;[2023]","[Object].[Object Group]","[Object].[Object Group].&amp;[82]","[Object].[Obj Group Nm]","[Object].[Obj Group Nm].&amp;[ADMINISTRATIVE CHARGES AND FEE]"),0)</f>
        <v>0</v>
      </c>
      <c r="AH64" s="20">
        <f>IFERROR(GETPIVOTDATA("[Measures].[Jrnl Posting Am]",'[1]Historical Summary Cube'!$AA$5,"[Accounting Period].[Fisc Yr]","[Accounting Period].[Fisc Yr].&amp;[2024]","[Object].[Object Group]","[Object].[Object Group].&amp;[82]","[Object].[Obj Group Nm]","[Object].[Obj Group Nm].&amp;[ADMINISTRATIVE CHARGES AND FEE]"),0)</f>
        <v>-20</v>
      </c>
      <c r="AI64" s="11"/>
      <c r="AJ64" s="11"/>
    </row>
    <row r="65" spans="1:36" s="10" customFormat="1" ht="15.5" x14ac:dyDescent="0.35">
      <c r="A65" s="25" t="s">
        <v>95</v>
      </c>
      <c r="B65" s="30" t="s">
        <v>96</v>
      </c>
      <c r="C65" s="20">
        <v>5108.7299999999996</v>
      </c>
      <c r="D65" s="20">
        <v>7972.7800000000007</v>
      </c>
      <c r="E65" s="20">
        <v>6889.93</v>
      </c>
      <c r="F65" s="20">
        <v>0</v>
      </c>
      <c r="G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Period].&amp;[5]"),0)</f>
        <v>0</v>
      </c>
      <c r="H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Period].&amp;[6]"),0)</f>
        <v>0</v>
      </c>
      <c r="I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Period].&amp;[7]"),0)</f>
        <v>0</v>
      </c>
      <c r="J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Period].&amp;[8]"),0)</f>
        <v>0</v>
      </c>
      <c r="K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Period].&amp;[9]"),0)</f>
        <v>0</v>
      </c>
      <c r="L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Period].&amp;[10]"),0)</f>
        <v>0</v>
      </c>
      <c r="M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Period].&amp;[11]"),0)</f>
        <v>0</v>
      </c>
      <c r="N65" s="20">
        <f>IFERROR(GETPIVOTDATA("[Measures].[Jrnl Posting Am]",'[1]Historical Summary Cube'!$AA$73,"[Object].[Object Group]","[Object].[Object Group].&amp;[85]","[Object].[Obj Group Nm]","[Object].[Obj Group Nm].&amp;[TRANSFERS]","[Accounting Period].[Fisc Period]","[Accounting Period].[Fisc Period].&amp;[12]"),0)</f>
        <v>0</v>
      </c>
      <c r="O65" s="11">
        <f t="shared" si="5"/>
        <v>19971.440000000002</v>
      </c>
      <c r="P65" s="12"/>
      <c r="Q65" s="12"/>
      <c r="R65" s="20">
        <f>IFERROR(GETPIVOTDATA("[Measures].[Jrnl Posting Am]",'[1]Historical Summary Cube'!$AA$5,"[Accounting Period].[Fisc Yr]","[Accounting Period].[Fisc Yr].&amp;[2008]","[Object].[Object Group]","[Object].[Object Group].&amp;[85]","[Object].[Obj Group Nm]","[Object].[Obj Group Nm].&amp;[TRANSFERS]"),0)</f>
        <v>10333.74</v>
      </c>
      <c r="S65" s="20">
        <f>IFERROR(GETPIVOTDATA("[Measures].[Jrnl Posting Am]",'[1]Historical Summary Cube'!$AA$5,"[Accounting Period].[Fisc Yr]","[Accounting Period].[Fisc Yr].&amp;[2009]","[Object].[Object Group]","[Object].[Object Group].&amp;[85]","[Object].[Obj Group Nm]","[Object].[Obj Group Nm].&amp;[TRANSFERS]"),0)</f>
        <v>14329.379999999996</v>
      </c>
      <c r="T65" s="20">
        <f>IFERROR(GETPIVOTDATA("[Measures].[Jrnl Posting Am]",'[1]Historical Summary Cube'!$AA$5,"[Accounting Period].[Fisc Yr]","[Accounting Period].[Fisc Yr].&amp;[2010]","[Object].[Object Group]","[Object].[Object Group].&amp;[85]","[Object].[Obj Group Nm]","[Object].[Obj Group Nm].&amp;[TRANSFERS]"),0)</f>
        <v>9669.98</v>
      </c>
      <c r="U65" s="20">
        <f>IFERROR(GETPIVOTDATA("[Measures].[Jrnl Posting Am]",'[1]Historical Summary Cube'!$AA$5,"[Accounting Period].[Fisc Yr]","[Accounting Period].[Fisc Yr].&amp;[2011]","[Object].[Object Group]","[Object].[Object Group].&amp;[85]","[Object].[Obj Group Nm]","[Object].[Obj Group Nm].&amp;[TRANSFERS]"),0)</f>
        <v>9386.09</v>
      </c>
      <c r="V65" s="20">
        <f>IFERROR(GETPIVOTDATA("[Measures].[Jrnl Posting Am]",'[1]Historical Summary Cube'!$AA$5,"[Accounting Period].[Fisc Yr]","[Accounting Period].[Fisc Yr].&amp;[2012]","[Object].[Object Group]","[Object].[Object Group].&amp;[85]","[Object].[Obj Group Nm]","[Object].[Obj Group Nm].&amp;[TRANSFERS]"),0)</f>
        <v>11997.469999999998</v>
      </c>
      <c r="W65" s="20">
        <f>IFERROR(GETPIVOTDATA("[Measures].[Jrnl Posting Am]",'[1]Historical Summary Cube'!$AA$5,"[Accounting Period].[Fisc Yr]","[Accounting Period].[Fisc Yr].&amp;[2013]","[Object].[Object Group]","[Object].[Object Group].&amp;[85]","[Object].[Obj Group Nm]","[Object].[Obj Group Nm].&amp;[TRANSFERS]"),0)</f>
        <v>18236.89000000001</v>
      </c>
      <c r="X65" s="20">
        <f>IFERROR(GETPIVOTDATA("[Measures].[Jrnl Posting Am]",'[1]Historical Summary Cube'!$AA$5,"[Accounting Period].[Fisc Yr]","[Accounting Period].[Fisc Yr].&amp;[2014]","[Object].[Object Group]","[Object].[Object Group].&amp;[85]","[Object].[Obj Group Nm]","[Object].[Obj Group Nm].&amp;[TRANSFERS]"),0)</f>
        <v>49708.609999999979</v>
      </c>
      <c r="Y65" s="20">
        <f>IFERROR(GETPIVOTDATA("[Measures].[Jrnl Posting Am]",'[1]Historical Summary Cube'!$AA$5,"[Accounting Period].[Fisc Yr]","[Accounting Period].[Fisc Yr].&amp;[2015]","[Object].[Object Group]","[Object].[Object Group].&amp;[85]","[Object].[Obj Group Nm]","[Object].[Obj Group Nm].&amp;[TRANSFERS]"),0)</f>
        <v>68348.94</v>
      </c>
      <c r="Z65" s="20">
        <f>IFERROR(GETPIVOTDATA("[Measures].[Jrnl Posting Am]",'[1]Historical Summary Cube'!$AA$5,"[Accounting Period].[Fisc Yr]","[Accounting Period].[Fisc Yr].&amp;[2016]","[Object].[Object Group]","[Object].[Object Group].&amp;[85]","[Object].[Obj Group Nm]","[Object].[Obj Group Nm].&amp;[TRANSFERS]"),0)</f>
        <v>87641.54</v>
      </c>
      <c r="AA65" s="20">
        <f>IFERROR(GETPIVOTDATA("[Measures].[Jrnl Posting Am]",'[1]Historical Summary Cube'!$AA$5,"[Accounting Period].[Fisc Yr]","[Accounting Period].[Fisc Yr].&amp;[2017]","[Object].[Object Group]","[Object].[Object Group].&amp;[85]","[Object].[Obj Group Nm]","[Object].[Obj Group Nm].&amp;[TRANSFERS]"),0)</f>
        <v>72913.540000000008</v>
      </c>
      <c r="AB65" s="20">
        <f>IFERROR(GETPIVOTDATA("[Measures].[Jrnl Posting Am]",'[1]Historical Summary Cube'!$AA$5,"[Accounting Period].[Fisc Yr]","[Accounting Period].[Fisc Yr].&amp;[2018]","[Object].[Object Group]","[Object].[Object Group].&amp;[85]","[Object].[Obj Group Nm]","[Object].[Obj Group Nm].&amp;[TRANSFERS]"),0)</f>
        <v>38566.019999999997</v>
      </c>
      <c r="AC65" s="20">
        <f>IFERROR(GETPIVOTDATA("[Measures].[Jrnl Posting Am]",'[1]Historical Summary Cube'!$AA$5,"[Accounting Period].[Fisc Yr]","[Accounting Period].[Fisc Yr].&amp;[2019]","[Object].[Object Group]","[Object].[Object Group].&amp;[85]","[Object].[Obj Group Nm]","[Object].[Obj Group Nm].&amp;[TRANSFERS]"),0)</f>
        <v>30444.279999999988</v>
      </c>
      <c r="AD65" s="20">
        <f>IFERROR(GETPIVOTDATA("[Measures].[Jrnl Posting Am]",'[1]Historical Summary Cube'!$AA$5,"[Accounting Period].[Fisc Yr]","[Accounting Period].[Fisc Yr].&amp;[2020]","[Object].[Object Group]","[Object].[Object Group].&amp;[85]","[Object].[Obj Group Nm]","[Object].[Obj Group Nm].&amp;[TRANSFERS]"),0)</f>
        <v>41108.630000000012</v>
      </c>
      <c r="AE65" s="20">
        <f>IFERROR(GETPIVOTDATA("[Measures].[Jrnl Posting Am]",'[1]Historical Summary Cube'!$AA$5,"[Accounting Period].[Fisc Yr]","[Accounting Period].[Fisc Yr].&amp;[2021]","[Object].[Object Group]","[Object].[Object Group].&amp;[85]","[Object].[Obj Group Nm]","[Object].[Obj Group Nm].&amp;[TRANSFERS]"),0)</f>
        <v>44542.280000000006</v>
      </c>
      <c r="AF65" s="20">
        <f>IFERROR(GETPIVOTDATA("[Measures].[Jrnl Posting Am]",'[1]Historical Summary Cube'!$AA$5,"[Accounting Period].[Fisc Yr]","[Accounting Period].[Fisc Yr].&amp;[2022]","[Object].[Object Group]","[Object].[Object Group].&amp;[85]","[Object].[Obj Group Nm]","[Object].[Obj Group Nm].&amp;[TRANSFERS]"),0)</f>
        <v>87322.290000000008</v>
      </c>
      <c r="AG65" s="20">
        <f>IFERROR(GETPIVOTDATA("[Measures].[Jrnl Posting Am]",'[1]Historical Summary Cube'!$AA$5,"[Accounting Period].[Fisc Yr]","[Accounting Period].[Fisc Yr].&amp;[2023]","[Object].[Object Group]","[Object].[Object Group].&amp;[85]","[Object].[Obj Group Nm]","[Object].[Obj Group Nm].&amp;[TRANSFERS]"),0)</f>
        <v>101999.67000000003</v>
      </c>
      <c r="AH65" s="20">
        <f>IFERROR(GETPIVOTDATA("[Measures].[Jrnl Posting Am]",'[1]Historical Summary Cube'!$AA$5,"[Accounting Period].[Fisc Yr]","[Accounting Period].[Fisc Yr].&amp;[2024]","[Object].[Object Group]","[Object].[Object Group].&amp;[85]","[Object].[Obj Group Nm]","[Object].[Obj Group Nm].&amp;[TRANSFERS]"),0)</f>
        <v>19971.439999999999</v>
      </c>
      <c r="AI65" s="11"/>
      <c r="AJ65" s="11"/>
    </row>
    <row r="66" spans="1:36" s="10" customFormat="1" ht="15.5" x14ac:dyDescent="0.35">
      <c r="A66" s="25" t="s">
        <v>97</v>
      </c>
      <c r="B66" s="30" t="s">
        <v>98</v>
      </c>
      <c r="C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Period].&amp;[1]"),0)</f>
        <v>0</v>
      </c>
      <c r="D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Period].&amp;[2]"),0)</f>
        <v>0</v>
      </c>
      <c r="E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Period].&amp;[3]"),0)</f>
        <v>0</v>
      </c>
      <c r="F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Period].&amp;[4]"),0)</f>
        <v>0</v>
      </c>
      <c r="G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Period].&amp;[5]"),0)</f>
        <v>0</v>
      </c>
      <c r="H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Period].&amp;[6]"),0)</f>
        <v>0</v>
      </c>
      <c r="I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Period].&amp;[7]"),0)</f>
        <v>0</v>
      </c>
      <c r="J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Period].&amp;[8]"),0)</f>
        <v>0</v>
      </c>
      <c r="K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Period].&amp;[9]"),0)</f>
        <v>0</v>
      </c>
      <c r="L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Period].&amp;[10]"),0)</f>
        <v>0</v>
      </c>
      <c r="M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Period].&amp;[11]"),0)</f>
        <v>0</v>
      </c>
      <c r="N66" s="20">
        <f>IFERROR(GETPIVOTDATA("[Measures].[Jrnl Posting Am]",'[1]Historical Summary Cube'!$AA$73,"[Object].[Object Group]","[Object].[Object Group].&amp;[90]","[Object].[Obj Group Nm]","[Object].[Obj Group Nm].&amp;[CHARGES TO ASSETS AND LIAB.]","[Accounting Period].[Fisc Period]","[Accounting Period].[Fisc Period].&amp;[12]"),0)</f>
        <v>0</v>
      </c>
      <c r="O66" s="11">
        <f t="shared" si="5"/>
        <v>0</v>
      </c>
      <c r="P66" s="12"/>
      <c r="Q66" s="12"/>
      <c r="R66" s="20">
        <f>IFERROR(GETPIVOTDATA("[Measures].[Jrnl Posting Am]",'[1]Historical Summary Cube'!$AA$5,"[Accounting Period].[Fisc Yr]","[Accounting Period].[Fisc Yr].&amp;[2008]","[Object].[Object Group]","[Object].[Object Group].&amp;[90]","[Object].[Obj Group Nm]","[Object].[Obj Group Nm].&amp;[CHARGES TO ASSETS AND LIAB.]"),0)</f>
        <v>0</v>
      </c>
      <c r="S66" s="20">
        <f>IFERROR(GETPIVOTDATA("[Measures].[Jrnl Posting Am]",'[1]Historical Summary Cube'!$AA$5,"[Accounting Period].[Fisc Yr]","[Accounting Period].[Fisc Yr].&amp;[2009]","[Object].[Object Group]","[Object].[Object Group].&amp;[90]","[Object].[Obj Group Nm]","[Object].[Obj Group Nm].&amp;[CHARGES TO ASSETS AND LIAB.]"),0)</f>
        <v>0</v>
      </c>
      <c r="T66" s="20">
        <f>IFERROR(GETPIVOTDATA("[Measures].[Jrnl Posting Am]",'[1]Historical Summary Cube'!$AA$5,"[Accounting Period].[Fisc Yr]","[Accounting Period].[Fisc Yr].&amp;[2010]","[Object].[Object Group]","[Object].[Object Group].&amp;[90]","[Object].[Obj Group Nm]","[Object].[Obj Group Nm].&amp;[CHARGES TO ASSETS AND LIAB.]"),0)</f>
        <v>0</v>
      </c>
      <c r="U66" s="20">
        <f>IFERROR(GETPIVOTDATA("[Measures].[Jrnl Posting Am]",'[1]Historical Summary Cube'!$AA$5,"[Accounting Period].[Fisc Yr]","[Accounting Period].[Fisc Yr].&amp;[2011]","[Object].[Object Group]","[Object].[Object Group].&amp;[90]","[Object].[Obj Group Nm]","[Object].[Obj Group Nm].&amp;[CHARGES TO ASSETS AND LIAB.]"),0)</f>
        <v>0</v>
      </c>
      <c r="V66" s="20">
        <f>IFERROR(GETPIVOTDATA("[Measures].[Jrnl Posting Am]",'[1]Historical Summary Cube'!$AA$5,"[Accounting Period].[Fisc Yr]","[Accounting Period].[Fisc Yr].&amp;[2012]","[Object].[Object Group]","[Object].[Object Group].&amp;[90]","[Object].[Obj Group Nm]","[Object].[Obj Group Nm].&amp;[CHARGES TO ASSETS AND LIAB.]"),0)</f>
        <v>0</v>
      </c>
      <c r="W66" s="20">
        <f>IFERROR(GETPIVOTDATA("[Measures].[Jrnl Posting Am]",'[1]Historical Summary Cube'!$AA$5,"[Accounting Period].[Fisc Yr]","[Accounting Period].[Fisc Yr].&amp;[2013]","[Object].[Object Group]","[Object].[Object Group].&amp;[90]","[Object].[Obj Group Nm]","[Object].[Obj Group Nm].&amp;[CHARGES TO ASSETS AND LIAB.]"),0)</f>
        <v>0</v>
      </c>
      <c r="X66" s="20">
        <f>IFERROR(GETPIVOTDATA("[Measures].[Jrnl Posting Am]",'[1]Historical Summary Cube'!$AA$5,"[Accounting Period].[Fisc Yr]","[Accounting Period].[Fisc Yr].&amp;[2014]","[Object].[Object Group]","[Object].[Object Group].&amp;[90]","[Object].[Obj Group Nm]","[Object].[Obj Group Nm].&amp;[CHARGES TO ASSETS AND LIAB.]"),0)</f>
        <v>0</v>
      </c>
      <c r="Y66" s="20">
        <f>IFERROR(GETPIVOTDATA("[Measures].[Jrnl Posting Am]",'[1]Historical Summary Cube'!$AA$5,"[Accounting Period].[Fisc Yr]","[Accounting Period].[Fisc Yr].&amp;[2015]","[Object].[Object Group]","[Object].[Object Group].&amp;[90]","[Object].[Obj Group Nm]","[Object].[Obj Group Nm].&amp;[CHARGES TO ASSETS AND LIAB.]"),0)</f>
        <v>0</v>
      </c>
      <c r="Z66" s="20">
        <f>IFERROR(GETPIVOTDATA("[Measures].[Jrnl Posting Am]",'[1]Historical Summary Cube'!$AA$5,"[Accounting Period].[Fisc Yr]","[Accounting Period].[Fisc Yr].&amp;[2016]","[Object].[Object Group]","[Object].[Object Group].&amp;[90]","[Object].[Obj Group Nm]","[Object].[Obj Group Nm].&amp;[CHARGES TO ASSETS AND LIAB.]"),0)</f>
        <v>0</v>
      </c>
      <c r="AA66" s="20">
        <f>IFERROR(GETPIVOTDATA("[Measures].[Jrnl Posting Am]",'[1]Historical Summary Cube'!$AA$5,"[Accounting Period].[Fisc Yr]","[Accounting Period].[Fisc Yr].&amp;[2017]","[Object].[Object Group]","[Object].[Object Group].&amp;[90]","[Object].[Obj Group Nm]","[Object].[Obj Group Nm].&amp;[CHARGES TO ASSETS AND LIAB.]"),0)</f>
        <v>0</v>
      </c>
      <c r="AB66" s="20">
        <f>IFERROR(GETPIVOTDATA("[Measures].[Jrnl Posting Am]",'[1]Historical Summary Cube'!$AA$5,"[Accounting Period].[Fisc Yr]","[Accounting Period].[Fisc Yr].&amp;[2018]","[Object].[Object Group]","[Object].[Object Group].&amp;[90]","[Object].[Obj Group Nm]","[Object].[Obj Group Nm].&amp;[CHARGES TO ASSETS AND LIAB.]"),0)</f>
        <v>0</v>
      </c>
      <c r="AC66" s="20">
        <f>IFERROR(GETPIVOTDATA("[Measures].[Jrnl Posting Am]",'[1]Historical Summary Cube'!$AA$5,"[Accounting Period].[Fisc Yr]","[Accounting Period].[Fisc Yr].&amp;[2019]","[Object].[Object Group]","[Object].[Object Group].&amp;[90]","[Object].[Obj Group Nm]","[Object].[Obj Group Nm].&amp;[CHARGES TO ASSETS AND LIAB.]"),0)</f>
        <v>0</v>
      </c>
      <c r="AD66" s="20">
        <f>IFERROR(GETPIVOTDATA("[Measures].[Jrnl Posting Am]",'[1]Historical Summary Cube'!$AA$5,"[Accounting Period].[Fisc Yr]","[Accounting Period].[Fisc Yr].&amp;[2020]","[Object].[Object Group]","[Object].[Object Group].&amp;[90]","[Object].[Obj Group Nm]","[Object].[Obj Group Nm].&amp;[CHARGES TO ASSETS AND LIAB.]"),0)</f>
        <v>0</v>
      </c>
      <c r="AE66" s="20">
        <f>IFERROR(GETPIVOTDATA("[Measures].[Jrnl Posting Am]",'[1]Historical Summary Cube'!$AA$5,"[Accounting Period].[Fisc Yr]","[Accounting Period].[Fisc Yr].&amp;[2021]","[Object].[Object Group]","[Object].[Object Group].&amp;[90]","[Object].[Obj Group Nm]","[Object].[Obj Group Nm].&amp;[CHARGES TO ASSETS AND LIAB.]"),0)</f>
        <v>0</v>
      </c>
      <c r="AF66" s="20">
        <f>IFERROR(GETPIVOTDATA("[Measures].[Jrnl Posting Am]",'[1]Historical Summary Cube'!$AA$5,"[Accounting Period].[Fisc Yr]","[Accounting Period].[Fisc Yr].&amp;[2022]","[Object].[Object Group]","[Object].[Object Group].&amp;[90]","[Object].[Obj Group Nm]","[Object].[Obj Group Nm].&amp;[CHARGES TO ASSETS AND LIAB.]"),0)</f>
        <v>0</v>
      </c>
      <c r="AG66" s="20">
        <f>IFERROR(GETPIVOTDATA("[Measures].[Jrnl Posting Am]",'[1]Historical Summary Cube'!$AA$5,"[Accounting Period].[Fisc Yr]","[Accounting Period].[Fisc Yr].&amp;[2023]","[Object].[Object Group]","[Object].[Object Group].&amp;[90]","[Object].[Obj Group Nm]","[Object].[Obj Group Nm].&amp;[CHARGES TO ASSETS AND LIAB.]"),0)</f>
        <v>14.82</v>
      </c>
      <c r="AH66" s="20">
        <f>IFERROR(GETPIVOTDATA("[Measures].[Jrnl Posting Am]",'[1]Historical Summary Cube'!$AA$5,"[Accounting Period].[Fisc Yr]","[Accounting Period].[Fisc Yr].&amp;[2024]","[Object].[Object Group]","[Object].[Object Group].&amp;[90]","[Object].[Obj Group Nm]","[Object].[Obj Group Nm].&amp;[CHARGES TO ASSETS AND LIAB.]"),0)</f>
        <v>0</v>
      </c>
      <c r="AI66" s="11"/>
      <c r="AJ66" s="11"/>
    </row>
    <row r="67" spans="1:36" s="13" customFormat="1" ht="16" thickBot="1" x14ac:dyDescent="0.4">
      <c r="A67" s="24"/>
      <c r="B67" s="26" t="s">
        <v>99</v>
      </c>
      <c r="C67" s="27">
        <f>SUM(C42:C66)</f>
        <v>109431.69</v>
      </c>
      <c r="D67" s="27">
        <f t="shared" ref="D67:O67" si="7">SUM(D42:D66)</f>
        <v>170782.81</v>
      </c>
      <c r="E67" s="27">
        <f t="shared" si="7"/>
        <v>147586.88</v>
      </c>
      <c r="F67" s="27">
        <f t="shared" si="7"/>
        <v>29143.119999999999</v>
      </c>
      <c r="G67" s="27">
        <f t="shared" si="7"/>
        <v>0</v>
      </c>
      <c r="H67" s="27">
        <f t="shared" si="7"/>
        <v>0</v>
      </c>
      <c r="I67" s="27">
        <f t="shared" si="7"/>
        <v>0</v>
      </c>
      <c r="J67" s="27">
        <f t="shared" si="7"/>
        <v>0</v>
      </c>
      <c r="K67" s="27">
        <f t="shared" si="7"/>
        <v>0</v>
      </c>
      <c r="L67" s="27">
        <f t="shared" si="7"/>
        <v>0</v>
      </c>
      <c r="M67" s="27">
        <f t="shared" si="7"/>
        <v>0</v>
      </c>
      <c r="N67" s="27">
        <f t="shared" si="7"/>
        <v>0</v>
      </c>
      <c r="O67" s="27">
        <f t="shared" si="7"/>
        <v>456944.50000000006</v>
      </c>
      <c r="P67" s="28"/>
      <c r="Q67" s="28"/>
      <c r="R67" s="27">
        <f>SUM(R35:R66)</f>
        <v>1132931.6700000002</v>
      </c>
      <c r="S67" s="27">
        <f t="shared" ref="S67:AH67" si="8">SUM(S35:S66)</f>
        <v>1099529.8400000003</v>
      </c>
      <c r="T67" s="27">
        <f t="shared" si="8"/>
        <v>1120518.3700000001</v>
      </c>
      <c r="U67" s="27">
        <f t="shared" si="8"/>
        <v>1192442.6100000001</v>
      </c>
      <c r="V67" s="27">
        <f t="shared" si="8"/>
        <v>1284709.9700000002</v>
      </c>
      <c r="W67" s="27">
        <f t="shared" si="8"/>
        <v>1212498.2799999998</v>
      </c>
      <c r="X67" s="27">
        <f t="shared" si="8"/>
        <v>1433421.9599999997</v>
      </c>
      <c r="Y67" s="27">
        <f t="shared" si="8"/>
        <v>1435113.53</v>
      </c>
      <c r="Z67" s="27">
        <f>SUM(Z35:Z66)</f>
        <v>2101756.67</v>
      </c>
      <c r="AA67" s="27">
        <f t="shared" si="8"/>
        <v>2009012.649999999</v>
      </c>
      <c r="AB67" s="27">
        <f t="shared" si="8"/>
        <v>1650557.4699999997</v>
      </c>
      <c r="AC67" s="27">
        <f t="shared" si="8"/>
        <v>1555253.4299999997</v>
      </c>
      <c r="AD67" s="27">
        <f t="shared" si="8"/>
        <v>1570835.86</v>
      </c>
      <c r="AE67" s="27">
        <f t="shared" si="8"/>
        <v>1557387.4300000002</v>
      </c>
      <c r="AF67" s="27">
        <f t="shared" si="8"/>
        <v>1731784.7100000004</v>
      </c>
      <c r="AG67" s="27">
        <f t="shared" si="8"/>
        <v>1736531.3499999996</v>
      </c>
      <c r="AH67" s="27">
        <f t="shared" si="8"/>
        <v>456944.5</v>
      </c>
      <c r="AI67" s="11"/>
      <c r="AJ67" s="11"/>
    </row>
    <row r="68" spans="1:36" s="10" customFormat="1" ht="15.5" x14ac:dyDescent="0.35">
      <c r="A68" s="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1"/>
      <c r="P68" s="12" t="str">
        <f>IF(O67=GETPIVOTDATA("[Measures].[Jrnl Posting Am]",'[1]Historical Summary Cube'!$AA$73),"","ERROR")</f>
        <v/>
      </c>
      <c r="Q68" s="12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13" t="str">
        <f>IF(SUM(R67:AH67)=GETPIVOTDATA("[Measures].[Jrnl Posting Am]",'[1]Historical Summary Cube'!$AA$6),"","ERROR")</f>
        <v/>
      </c>
      <c r="AJ68" s="13"/>
    </row>
    <row r="69" spans="1:36" s="10" customFormat="1" ht="15.5" x14ac:dyDescent="0.35">
      <c r="A69" s="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1"/>
      <c r="P69" s="12"/>
      <c r="Q69" s="12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13"/>
      <c r="AJ69" s="13"/>
    </row>
    <row r="70" spans="1:36" s="10" customFormat="1" ht="15.5" x14ac:dyDescent="0.35">
      <c r="A70" s="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1"/>
      <c r="P70" s="12"/>
      <c r="Q70" s="12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13"/>
      <c r="AJ70" s="13"/>
    </row>
    <row r="71" spans="1:36" s="35" customFormat="1" ht="16" thickBot="1" x14ac:dyDescent="0.4">
      <c r="A71" s="31"/>
      <c r="B71" s="32" t="s">
        <v>100</v>
      </c>
      <c r="C71" s="32">
        <f t="shared" ref="C71:N71" si="9">C7+C30-C67</f>
        <v>1656650.8699999987</v>
      </c>
      <c r="D71" s="32">
        <f t="shared" ca="1" si="9"/>
        <v>1521154.6199999987</v>
      </c>
      <c r="E71" s="32">
        <f t="shared" ca="1" si="9"/>
        <v>1376001.2399999988</v>
      </c>
      <c r="F71" s="32">
        <f t="shared" ca="1" si="9"/>
        <v>1350163.1199999987</v>
      </c>
      <c r="G71" s="32">
        <f t="shared" ca="1" si="9"/>
        <v>0</v>
      </c>
      <c r="H71" s="32">
        <f t="shared" ca="1" si="9"/>
        <v>0</v>
      </c>
      <c r="I71" s="32">
        <f t="shared" ca="1" si="9"/>
        <v>0</v>
      </c>
      <c r="J71" s="32">
        <f t="shared" ca="1" si="9"/>
        <v>0</v>
      </c>
      <c r="K71" s="32">
        <f t="shared" ca="1" si="9"/>
        <v>0</v>
      </c>
      <c r="L71" s="32">
        <f t="shared" ca="1" si="9"/>
        <v>0</v>
      </c>
      <c r="M71" s="32">
        <f t="shared" ca="1" si="9"/>
        <v>0</v>
      </c>
      <c r="N71" s="32">
        <f t="shared" ca="1" si="9"/>
        <v>0</v>
      </c>
      <c r="O71" s="33">
        <f>C7+O30-O67</f>
        <v>1350163.1199999987</v>
      </c>
      <c r="P71" s="34"/>
      <c r="Q71" s="34"/>
      <c r="R71" s="32">
        <f t="shared" ref="R71:AH71" si="10">R7+R30-R67</f>
        <v>821279.05999999982</v>
      </c>
      <c r="S71" s="32">
        <f t="shared" si="10"/>
        <v>971785.57999999938</v>
      </c>
      <c r="T71" s="32">
        <f t="shared" si="10"/>
        <v>1231982.8199999994</v>
      </c>
      <c r="U71" s="32">
        <f t="shared" si="10"/>
        <v>1119458.7899999993</v>
      </c>
      <c r="V71" s="32">
        <f t="shared" si="10"/>
        <v>957879.33999999845</v>
      </c>
      <c r="W71" s="32">
        <f t="shared" si="10"/>
        <v>1274930.0199999986</v>
      </c>
      <c r="X71" s="32">
        <f t="shared" si="10"/>
        <v>1384757.7399999986</v>
      </c>
      <c r="Y71" s="32">
        <f t="shared" si="10"/>
        <v>1598681.1799999985</v>
      </c>
      <c r="Z71" s="32">
        <f t="shared" si="10"/>
        <v>1227036.6499999985</v>
      </c>
      <c r="AA71" s="32">
        <f t="shared" si="10"/>
        <v>1031207.5099999993</v>
      </c>
      <c r="AB71" s="32">
        <f t="shared" si="10"/>
        <v>1445067.0199999996</v>
      </c>
      <c r="AC71" s="32">
        <f t="shared" si="10"/>
        <v>1625992.6899999995</v>
      </c>
      <c r="AD71" s="32">
        <f t="shared" si="10"/>
        <v>1755844.2299999988</v>
      </c>
      <c r="AE71" s="33">
        <f t="shared" si="10"/>
        <v>1927321.9999999986</v>
      </c>
      <c r="AF71" s="33">
        <f t="shared" si="10"/>
        <v>2082379.1399999983</v>
      </c>
      <c r="AG71" s="33">
        <f t="shared" si="10"/>
        <v>1754990.6199999987</v>
      </c>
      <c r="AH71" s="33">
        <f t="shared" si="10"/>
        <v>1350163.1199999987</v>
      </c>
    </row>
  </sheetData>
  <mergeCells count="8">
    <mergeCell ref="C5:N5"/>
    <mergeCell ref="R5:AH5"/>
    <mergeCell ref="A1:O1"/>
    <mergeCell ref="AC1:AH1"/>
    <mergeCell ref="A2:O2"/>
    <mergeCell ref="AC2:AH2"/>
    <mergeCell ref="A3:O3"/>
    <mergeCell ref="AC3:AH3"/>
  </mergeCells>
  <conditionalFormatting sqref="AI31">
    <cfRule type="cellIs" dxfId="4" priority="5" operator="equal">
      <formula>"ERROR"</formula>
    </cfRule>
  </conditionalFormatting>
  <conditionalFormatting sqref="AI68">
    <cfRule type="cellIs" dxfId="3" priority="4" operator="equal">
      <formula>"ERROR"</formula>
    </cfRule>
  </conditionalFormatting>
  <conditionalFormatting sqref="P31">
    <cfRule type="cellIs" dxfId="2" priority="3" operator="equal">
      <formula>"ERROR"</formula>
    </cfRule>
  </conditionalFormatting>
  <conditionalFormatting sqref="P68">
    <cfRule type="cellIs" dxfId="1" priority="2" operator="equal">
      <formula>"ERROR"</formula>
    </cfRule>
  </conditionalFormatting>
  <conditionalFormatting sqref="A6">
    <cfRule type="cellIs" dxfId="0" priority="1" operator="equal">
      <formula>"ERROR"</formula>
    </cfRule>
  </conditionalFormatting>
  <pageMargins left="0.2" right="0.2" top="0.5" bottom="0.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Summary</vt:lpstr>
      <vt:lpstr>'Account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Pietroski, John T</dc:creator>
  <cp:lastModifiedBy>Couture, Amanda</cp:lastModifiedBy>
  <cp:lastPrinted>2023-10-10T14:57:55Z</cp:lastPrinted>
  <dcterms:created xsi:type="dcterms:W3CDTF">2023-10-10T14:55:38Z</dcterms:created>
  <dcterms:modified xsi:type="dcterms:W3CDTF">2023-10-10T19:26:14Z</dcterms:modified>
</cp:coreProperties>
</file>